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01\RedirectedFolders\citymgr\Documents\WATER-SEWER RATES Aug 2019\"/>
    </mc:Choice>
  </mc:AlternateContent>
  <bookViews>
    <workbookView xWindow="0" yWindow="0" windowWidth="20490" windowHeight="7350" activeTab="1"/>
  </bookViews>
  <sheets>
    <sheet name="Rates" sheetId="1" r:id="rId1"/>
    <sheet name="Town Comparison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25" i="3" l="1"/>
  <c r="U23" i="3"/>
  <c r="V21" i="3"/>
  <c r="V20" i="3"/>
  <c r="U20" i="3"/>
  <c r="V19" i="3"/>
  <c r="U19" i="3"/>
  <c r="V18" i="3"/>
  <c r="U17" i="3"/>
  <c r="R25" i="3"/>
  <c r="R23" i="3"/>
  <c r="S21" i="3"/>
  <c r="S20" i="3"/>
  <c r="R20" i="3"/>
  <c r="S19" i="3"/>
  <c r="R19" i="3"/>
  <c r="S18" i="3"/>
  <c r="R17" i="3"/>
  <c r="F25" i="3"/>
  <c r="F23" i="3"/>
  <c r="G21" i="3"/>
  <c r="G20" i="3"/>
  <c r="F20" i="3"/>
  <c r="G19" i="3"/>
  <c r="F19" i="3"/>
  <c r="G18" i="3"/>
  <c r="F17" i="3"/>
  <c r="I25" i="3"/>
  <c r="I23" i="3"/>
  <c r="J21" i="3"/>
  <c r="J20" i="3"/>
  <c r="J19" i="3"/>
  <c r="I19" i="3"/>
  <c r="J18" i="3"/>
  <c r="I17" i="3"/>
  <c r="I20" i="3"/>
  <c r="O25" i="3"/>
  <c r="O23" i="3"/>
  <c r="P21" i="3"/>
  <c r="P20" i="3"/>
  <c r="P19" i="3"/>
  <c r="O19" i="3"/>
  <c r="P18" i="3"/>
  <c r="O17" i="3"/>
  <c r="O20" i="3"/>
  <c r="AB11" i="3"/>
  <c r="AA11" i="3" s="1"/>
  <c r="M20" i="3"/>
  <c r="M19" i="3"/>
  <c r="L25" i="3"/>
  <c r="L23" i="3"/>
  <c r="L19" i="3"/>
  <c r="M11" i="3"/>
  <c r="L11" i="3" s="1"/>
  <c r="M21" i="3"/>
  <c r="M18" i="3"/>
  <c r="L17" i="3"/>
  <c r="L8" i="3"/>
  <c r="L20" i="3" s="1"/>
  <c r="AD8" i="3"/>
  <c r="AD7" i="3"/>
  <c r="M13" i="3" l="1"/>
  <c r="L13" i="3" s="1"/>
  <c r="L15" i="3" s="1"/>
  <c r="P11" i="3"/>
  <c r="O11" i="3" s="1"/>
  <c r="M22" i="3"/>
  <c r="L22" i="3" s="1"/>
  <c r="J11" i="3"/>
  <c r="M24" i="3"/>
  <c r="L24" i="3" s="1"/>
  <c r="L74" i="1"/>
  <c r="M74" i="1"/>
  <c r="M76" i="1" s="1"/>
  <c r="N74" i="1"/>
  <c r="N76" i="1" s="1"/>
  <c r="O74" i="1"/>
  <c r="P33" i="1"/>
  <c r="Q76" i="1"/>
  <c r="P76" i="1"/>
  <c r="O76" i="1"/>
  <c r="L76" i="1"/>
  <c r="C74" i="1"/>
  <c r="D74" i="1"/>
  <c r="E74" i="1"/>
  <c r="F74" i="1"/>
  <c r="H76" i="1"/>
  <c r="H74" i="1"/>
  <c r="G76" i="1"/>
  <c r="G33" i="1"/>
  <c r="G81" i="1"/>
  <c r="G80" i="1"/>
  <c r="F80" i="1"/>
  <c r="E80" i="1"/>
  <c r="D80" i="1"/>
  <c r="C80" i="1"/>
  <c r="H81" i="1"/>
  <c r="H80" i="1"/>
  <c r="P79" i="1"/>
  <c r="Q79" i="1"/>
  <c r="F33" i="1"/>
  <c r="P22" i="3" l="1"/>
  <c r="P24" i="3" s="1"/>
  <c r="O24" i="3" s="1"/>
  <c r="G11" i="3"/>
  <c r="J13" i="3"/>
  <c r="I13" i="3" s="1"/>
  <c r="J22" i="3"/>
  <c r="I11" i="3"/>
  <c r="I15" i="3" s="1"/>
  <c r="O22" i="3"/>
  <c r="O26" i="3" s="1"/>
  <c r="P13" i="3"/>
  <c r="O13" i="3" s="1"/>
  <c r="O15" i="3" s="1"/>
  <c r="S11" i="3"/>
  <c r="V11" i="3" s="1"/>
  <c r="L26" i="3"/>
  <c r="G79" i="1"/>
  <c r="H79" i="1"/>
  <c r="H60" i="1"/>
  <c r="H58" i="1"/>
  <c r="H17" i="1"/>
  <c r="H6" i="1"/>
  <c r="H63" i="1"/>
  <c r="G60" i="1"/>
  <c r="F59" i="1"/>
  <c r="F54" i="1"/>
  <c r="F53" i="1"/>
  <c r="V22" i="3" l="1"/>
  <c r="V13" i="3"/>
  <c r="U13" i="3" s="1"/>
  <c r="U11" i="3"/>
  <c r="U15" i="3" s="1"/>
  <c r="R11" i="3"/>
  <c r="S13" i="3"/>
  <c r="R13" i="3" s="1"/>
  <c r="R15" i="3" s="1"/>
  <c r="S22" i="3"/>
  <c r="J24" i="3"/>
  <c r="I24" i="3" s="1"/>
  <c r="I22" i="3"/>
  <c r="F11" i="3"/>
  <c r="G22" i="3"/>
  <c r="G13" i="3"/>
  <c r="F13" i="3" s="1"/>
  <c r="F81" i="1"/>
  <c r="F79" i="1"/>
  <c r="R47" i="1"/>
  <c r="Q47" i="1"/>
  <c r="P47" i="1"/>
  <c r="O47" i="1"/>
  <c r="N47" i="1"/>
  <c r="M47" i="1"/>
  <c r="L47" i="1"/>
  <c r="I47" i="1"/>
  <c r="H47" i="1"/>
  <c r="G47" i="1"/>
  <c r="F47" i="1"/>
  <c r="E47" i="1"/>
  <c r="D47" i="1"/>
  <c r="C47" i="1"/>
  <c r="B46" i="1"/>
  <c r="V24" i="3" l="1"/>
  <c r="U24" i="3" s="1"/>
  <c r="U22" i="3"/>
  <c r="U26" i="3" s="1"/>
  <c r="G24" i="3"/>
  <c r="F24" i="3" s="1"/>
  <c r="F22" i="3"/>
  <c r="F15" i="3"/>
  <c r="I26" i="3"/>
  <c r="S24" i="3"/>
  <c r="R24" i="3" s="1"/>
  <c r="R22" i="3"/>
  <c r="R26" i="3" s="1"/>
  <c r="L38" i="1"/>
  <c r="M38" i="1"/>
  <c r="N38" i="1"/>
  <c r="O38" i="1"/>
  <c r="L37" i="1"/>
  <c r="M37" i="1"/>
  <c r="N37" i="1"/>
  <c r="O37" i="1"/>
  <c r="C37" i="1"/>
  <c r="D37" i="1"/>
  <c r="E37" i="1"/>
  <c r="F37" i="1"/>
  <c r="F26" i="3" l="1"/>
  <c r="C11" i="3"/>
  <c r="O80" i="1"/>
  <c r="O56" i="1"/>
  <c r="O33" i="1"/>
  <c r="F67" i="1"/>
  <c r="Q80" i="1" l="1"/>
  <c r="Q81" i="1" s="1"/>
  <c r="P80" i="1"/>
  <c r="O14" i="1" l="1"/>
  <c r="O59" i="1" l="1"/>
  <c r="N14" i="1"/>
  <c r="M14" i="1" s="1"/>
  <c r="L14" i="1" s="1"/>
  <c r="P14" i="1"/>
  <c r="Y11" i="3" l="1"/>
  <c r="X11" i="3" s="1"/>
  <c r="D13" i="3"/>
  <c r="Y22" i="3"/>
  <c r="X22" i="3" s="1"/>
  <c r="D24" i="3"/>
  <c r="AB24" i="3" s="1"/>
  <c r="AA24" i="3" s="1"/>
  <c r="D22" i="3"/>
  <c r="AB22" i="3" s="1"/>
  <c r="AA22" i="3" s="1"/>
  <c r="X20" i="3"/>
  <c r="X25" i="3" s="1"/>
  <c r="X8" i="3"/>
  <c r="X14" i="3" s="1"/>
  <c r="P75" i="1"/>
  <c r="P63" i="1"/>
  <c r="Q63" i="1"/>
  <c r="L94" i="1"/>
  <c r="L93" i="1"/>
  <c r="L92" i="1"/>
  <c r="L91" i="1"/>
  <c r="G94" i="1"/>
  <c r="C94" i="1"/>
  <c r="G92" i="1"/>
  <c r="G93" i="1"/>
  <c r="G91" i="1"/>
  <c r="C93" i="1"/>
  <c r="C91" i="1"/>
  <c r="C92" i="1"/>
  <c r="G75" i="1"/>
  <c r="H75" i="1"/>
  <c r="C72" i="1"/>
  <c r="D72" i="1"/>
  <c r="E72" i="1"/>
  <c r="F72" i="1"/>
  <c r="G63" i="1"/>
  <c r="G29" i="1"/>
  <c r="G72" i="1" s="1"/>
  <c r="AB13" i="3" l="1"/>
  <c r="AA13" i="3" s="1"/>
  <c r="AA15" i="3" s="1"/>
  <c r="X15" i="3"/>
  <c r="C13" i="3"/>
  <c r="C15" i="3" s="1"/>
  <c r="AA26" i="3"/>
  <c r="X26" i="3"/>
  <c r="L95" i="1"/>
  <c r="G95" i="1"/>
  <c r="C95" i="1"/>
  <c r="E42" i="1" l="1"/>
  <c r="N43" i="1" s="1"/>
  <c r="F42" i="1"/>
  <c r="F75" i="1" s="1"/>
  <c r="P56" i="1" l="1"/>
  <c r="P68" i="1" s="1"/>
  <c r="P51" i="1"/>
  <c r="P13" i="1"/>
  <c r="P26" i="1" s="1"/>
  <c r="P10" i="1"/>
  <c r="P5" i="1"/>
  <c r="G51" i="1"/>
  <c r="G64" i="1" s="1"/>
  <c r="G58" i="1"/>
  <c r="G68" i="1" s="1"/>
  <c r="G14" i="1"/>
  <c r="G13" i="1"/>
  <c r="G10" i="1"/>
  <c r="G5" i="1"/>
  <c r="C63" i="1" l="1"/>
  <c r="D63" i="1"/>
  <c r="C41" i="1"/>
  <c r="C75" i="1" s="1"/>
  <c r="D41" i="1"/>
  <c r="D75" i="1" s="1"/>
  <c r="D10" i="1"/>
  <c r="C10" i="1"/>
  <c r="D5" i="1"/>
  <c r="C5" i="1"/>
  <c r="O27" i="1"/>
  <c r="N27" i="1"/>
  <c r="M27" i="1"/>
  <c r="L27" i="1"/>
  <c r="L42" i="1" l="1"/>
  <c r="L75" i="1" s="1"/>
  <c r="M42" i="1"/>
  <c r="M75" i="1" s="1"/>
  <c r="L72" i="1"/>
  <c r="M72" i="1"/>
  <c r="M63" i="1" l="1"/>
  <c r="L63" i="1"/>
  <c r="Q14" i="1"/>
  <c r="Q59" i="1" s="1"/>
  <c r="Q25" i="1" s="1"/>
  <c r="Q15" i="1"/>
  <c r="O25" i="1" l="1"/>
  <c r="O5" i="1"/>
  <c r="N5" i="1" s="1"/>
  <c r="M5" i="1" s="1"/>
  <c r="L5" i="1" s="1"/>
  <c r="P27" i="1"/>
  <c r="P71" i="1" s="1"/>
  <c r="P23" i="1"/>
  <c r="O10" i="1"/>
  <c r="N10" i="1" s="1"/>
  <c r="M10" i="1" s="1"/>
  <c r="L10" i="1" s="1"/>
  <c r="O13" i="1"/>
  <c r="O26" i="1" s="1"/>
  <c r="O71" i="1" s="1"/>
  <c r="Q41" i="1"/>
  <c r="Q75" i="1" s="1"/>
  <c r="Q72" i="1"/>
  <c r="P72" i="1"/>
  <c r="O72" i="1"/>
  <c r="N72" i="1"/>
  <c r="N13" i="1" l="1"/>
  <c r="P59" i="1"/>
  <c r="P25" i="1" l="1"/>
  <c r="P64" i="1"/>
  <c r="M13" i="1"/>
  <c r="M26" i="1" s="1"/>
  <c r="N26" i="1"/>
  <c r="N71" i="1" s="1"/>
  <c r="N59" i="1"/>
  <c r="N25" i="1"/>
  <c r="L13" i="1" l="1"/>
  <c r="L26" i="1" s="1"/>
  <c r="L71" i="1" s="1"/>
  <c r="M71" i="1"/>
  <c r="M59" i="1"/>
  <c r="M25" i="1"/>
  <c r="Q28" i="1"/>
  <c r="Q27" i="1"/>
  <c r="O9" i="1"/>
  <c r="N9" i="1" s="1"/>
  <c r="M9" i="1" s="1"/>
  <c r="O4" i="1"/>
  <c r="N4" i="1" s="1"/>
  <c r="M4" i="1" s="1"/>
  <c r="M11" i="1" l="1"/>
  <c r="L9" i="1"/>
  <c r="L11" i="1" s="1"/>
  <c r="M6" i="1"/>
  <c r="L4" i="1"/>
  <c r="L6" i="1" s="1"/>
  <c r="L25" i="1"/>
  <c r="L59" i="1"/>
  <c r="L17" i="1" l="1"/>
  <c r="M17" i="1"/>
  <c r="G28" i="1"/>
  <c r="H29" i="1"/>
  <c r="H72" i="1" s="1"/>
  <c r="H28" i="1"/>
  <c r="G27" i="1"/>
  <c r="G26" i="1"/>
  <c r="H27" i="1"/>
  <c r="G71" i="1" l="1"/>
  <c r="F27" i="1"/>
  <c r="E27" i="1" s="1"/>
  <c r="D27" i="1" s="1"/>
  <c r="C27" i="1" s="1"/>
  <c r="F28" i="1"/>
  <c r="E28" i="1" s="1"/>
  <c r="D28" i="1" s="1"/>
  <c r="C28" i="1" s="1"/>
  <c r="F26" i="1"/>
  <c r="F71" i="1" l="1"/>
  <c r="E26" i="1"/>
  <c r="E71" i="1" s="1"/>
  <c r="D26" i="1" l="1"/>
  <c r="D71" i="1" s="1"/>
  <c r="F4" i="1"/>
  <c r="E4" i="1" s="1"/>
  <c r="D4" i="1" s="1"/>
  <c r="E5" i="1"/>
  <c r="F5" i="1"/>
  <c r="F9" i="1"/>
  <c r="E9" i="1" s="1"/>
  <c r="D9" i="1" s="1"/>
  <c r="E10" i="1"/>
  <c r="F10" i="1"/>
  <c r="F13" i="1"/>
  <c r="F60" i="1"/>
  <c r="E60" i="1" s="1"/>
  <c r="D60" i="1" s="1"/>
  <c r="C60" i="1" s="1"/>
  <c r="H24" i="1"/>
  <c r="H5" i="1"/>
  <c r="I5" i="1"/>
  <c r="I6" i="1" s="1"/>
  <c r="Q5" i="1"/>
  <c r="Q6" i="1" s="1"/>
  <c r="R5" i="1"/>
  <c r="R6" i="1"/>
  <c r="H10" i="1"/>
  <c r="H11" i="1" s="1"/>
  <c r="I10" i="1"/>
  <c r="I11" i="1" s="1"/>
  <c r="Q10" i="1"/>
  <c r="Q11" i="1" s="1"/>
  <c r="R10" i="1"/>
  <c r="R11" i="1" s="1"/>
  <c r="H13" i="1"/>
  <c r="H26" i="1" s="1"/>
  <c r="H71" i="1" s="1"/>
  <c r="I13" i="1"/>
  <c r="Q13" i="1"/>
  <c r="Q26" i="1" s="1"/>
  <c r="Q71" i="1" s="1"/>
  <c r="R13" i="1"/>
  <c r="H14" i="1"/>
  <c r="I14" i="1"/>
  <c r="R14" i="1"/>
  <c r="I15" i="1"/>
  <c r="R15" i="1"/>
  <c r="Q17" i="1" l="1"/>
  <c r="D6" i="1"/>
  <c r="C4" i="1"/>
  <c r="C6" i="1" s="1"/>
  <c r="C9" i="1"/>
  <c r="C11" i="1" s="1"/>
  <c r="D11" i="1"/>
  <c r="C26" i="1"/>
  <c r="C71" i="1" s="1"/>
  <c r="R17" i="1"/>
  <c r="G24" i="1"/>
  <c r="H68" i="1"/>
  <c r="E6" i="1"/>
  <c r="G6" i="1"/>
  <c r="N6" i="1"/>
  <c r="O6" i="1"/>
  <c r="I17" i="1"/>
  <c r="N11" i="1"/>
  <c r="E11" i="1"/>
  <c r="F11" i="1"/>
  <c r="F6" i="1"/>
  <c r="P11" i="1"/>
  <c r="O11" i="1"/>
  <c r="P6" i="1"/>
  <c r="G11" i="1"/>
  <c r="N17" i="1" l="1"/>
  <c r="P17" i="1"/>
  <c r="O17" i="1"/>
  <c r="G17" i="1"/>
  <c r="E13" i="1"/>
  <c r="D13" i="1" s="1"/>
  <c r="C13" i="1" l="1"/>
  <c r="F78" i="1" l="1"/>
  <c r="O78" i="1" s="1"/>
  <c r="G78" i="1"/>
  <c r="L80" i="1"/>
  <c r="E78" i="1"/>
  <c r="N78" i="1" l="1"/>
  <c r="P78" i="1" s="1"/>
  <c r="Q78" i="1" s="1"/>
  <c r="L78" i="1"/>
  <c r="M78" i="1"/>
  <c r="D78" i="1"/>
  <c r="C78" i="1"/>
  <c r="N80" i="1" l="1"/>
  <c r="S43" i="1"/>
  <c r="R51" i="1"/>
  <c r="I51" i="1"/>
  <c r="R56" i="1"/>
  <c r="I58" i="1"/>
  <c r="H57" i="1" s="1"/>
  <c r="P81" i="1"/>
  <c r="P83" i="1" s="1"/>
  <c r="M80" i="1" l="1"/>
  <c r="P82" i="1"/>
  <c r="G82" i="1" l="1"/>
  <c r="G83" i="1"/>
  <c r="O43" i="1" l="1"/>
  <c r="O75" i="1" s="1"/>
  <c r="N42" i="1" l="1"/>
  <c r="N75" i="1" s="1"/>
  <c r="N63" i="1"/>
  <c r="O63" i="1"/>
  <c r="P34" i="1"/>
  <c r="O57" i="1"/>
  <c r="Q56" i="1"/>
  <c r="Q55" i="1" s="1"/>
  <c r="O53" i="1"/>
  <c r="O51" i="1"/>
  <c r="N51" i="1" s="1"/>
  <c r="M51" i="1" s="1"/>
  <c r="L51" i="1" s="1"/>
  <c r="Q51" i="1"/>
  <c r="Q64" i="1" s="1"/>
  <c r="P67" i="1"/>
  <c r="P73" i="1" s="1"/>
  <c r="N56" i="1"/>
  <c r="M56" i="1" s="1"/>
  <c r="L56" i="1" s="1"/>
  <c r="R33" i="1"/>
  <c r="Q34" i="1" s="1"/>
  <c r="R30" i="1"/>
  <c r="O34" i="1"/>
  <c r="E33" i="1"/>
  <c r="D33" i="1" s="1"/>
  <c r="H67" i="1"/>
  <c r="G67" i="1"/>
  <c r="G73" i="1" s="1"/>
  <c r="I33" i="1"/>
  <c r="I38" i="1" s="1"/>
  <c r="E63" i="1"/>
  <c r="E41" i="1"/>
  <c r="F63" i="1"/>
  <c r="O79" i="1" l="1"/>
  <c r="O82" i="1" s="1"/>
  <c r="O86" i="1" s="1"/>
  <c r="O68" i="1"/>
  <c r="O81" i="1"/>
  <c r="M91" i="1"/>
  <c r="C23" i="3"/>
  <c r="M92" i="1"/>
  <c r="C19" i="3"/>
  <c r="C22" i="3" s="1"/>
  <c r="M93" i="1"/>
  <c r="C25" i="3"/>
  <c r="M94" i="1"/>
  <c r="C20" i="3"/>
  <c r="C24" i="3" s="1"/>
  <c r="H94" i="1"/>
  <c r="D94" i="1"/>
  <c r="D91" i="1"/>
  <c r="H91" i="1"/>
  <c r="H92" i="1"/>
  <c r="D92" i="1"/>
  <c r="D93" i="1"/>
  <c r="H93" i="1"/>
  <c r="T43" i="1"/>
  <c r="E75" i="1"/>
  <c r="P55" i="1"/>
  <c r="D67" i="1"/>
  <c r="C33" i="1"/>
  <c r="D34" i="1"/>
  <c r="P24" i="1"/>
  <c r="Q24" i="1"/>
  <c r="N57" i="1"/>
  <c r="N79" i="1" s="1"/>
  <c r="O23" i="1"/>
  <c r="F83" i="1"/>
  <c r="Q82" i="1"/>
  <c r="P84" i="1" s="1"/>
  <c r="Q83" i="1"/>
  <c r="P85" i="1" s="1"/>
  <c r="Q68" i="1"/>
  <c r="Q23" i="1"/>
  <c r="N53" i="1"/>
  <c r="M53" i="1" s="1"/>
  <c r="O24" i="1"/>
  <c r="O64" i="1"/>
  <c r="E59" i="1"/>
  <c r="E53" i="1"/>
  <c r="O67" i="1"/>
  <c r="N33" i="1"/>
  <c r="M33" i="1" s="1"/>
  <c r="P65" i="1"/>
  <c r="Q67" i="1"/>
  <c r="Q73" i="1" s="1"/>
  <c r="Q65" i="1"/>
  <c r="P69" i="1"/>
  <c r="E34" i="1"/>
  <c r="E67" i="1"/>
  <c r="H34" i="1"/>
  <c r="D53" i="1" l="1"/>
  <c r="E81" i="1"/>
  <c r="E83" i="1" s="1"/>
  <c r="D59" i="1"/>
  <c r="E79" i="1"/>
  <c r="E82" i="1" s="1"/>
  <c r="F85" i="1"/>
  <c r="F87" i="1"/>
  <c r="O83" i="1"/>
  <c r="O87" i="1" s="1"/>
  <c r="S81" i="1"/>
  <c r="S79" i="1"/>
  <c r="M95" i="1"/>
  <c r="M97" i="1" s="1"/>
  <c r="C26" i="3"/>
  <c r="O65" i="1"/>
  <c r="O73" i="1"/>
  <c r="H95" i="1"/>
  <c r="D95" i="1"/>
  <c r="D97" i="1" s="1"/>
  <c r="F82" i="1"/>
  <c r="C67" i="1"/>
  <c r="C34" i="1"/>
  <c r="M34" i="1"/>
  <c r="M67" i="1"/>
  <c r="L33" i="1"/>
  <c r="L53" i="1"/>
  <c r="M24" i="1"/>
  <c r="M64" i="1"/>
  <c r="N23" i="1"/>
  <c r="M57" i="1"/>
  <c r="M79" i="1" s="1"/>
  <c r="N24" i="1"/>
  <c r="N64" i="1"/>
  <c r="O69" i="1"/>
  <c r="Q69" i="1"/>
  <c r="N82" i="1"/>
  <c r="N81" i="1"/>
  <c r="N83" i="1" s="1"/>
  <c r="N68" i="1"/>
  <c r="N34" i="1"/>
  <c r="N67" i="1"/>
  <c r="P30" i="1"/>
  <c r="P39" i="1" s="1"/>
  <c r="Q30" i="1"/>
  <c r="Q39" i="1" s="1"/>
  <c r="AC27" i="3" l="1"/>
  <c r="AC26" i="3"/>
  <c r="C28" i="3"/>
  <c r="C53" i="1"/>
  <c r="D81" i="1"/>
  <c r="D83" i="1" s="1"/>
  <c r="C59" i="1"/>
  <c r="C79" i="1" s="1"/>
  <c r="C82" i="1" s="1"/>
  <c r="D79" i="1"/>
  <c r="D82" i="1" s="1"/>
  <c r="D86" i="1" s="1"/>
  <c r="E86" i="1"/>
  <c r="F84" i="1"/>
  <c r="F86" i="1"/>
  <c r="D87" i="1"/>
  <c r="E85" i="1"/>
  <c r="E87" i="1"/>
  <c r="N85" i="1"/>
  <c r="N87" i="1"/>
  <c r="N84" i="1"/>
  <c r="N86" i="1"/>
  <c r="O84" i="1"/>
  <c r="S86" i="1"/>
  <c r="O85" i="1"/>
  <c r="S85" i="1" s="1"/>
  <c r="S87" i="1"/>
  <c r="M65" i="1"/>
  <c r="N65" i="1"/>
  <c r="N73" i="1"/>
  <c r="E84" i="1"/>
  <c r="D85" i="1"/>
  <c r="L34" i="1"/>
  <c r="L67" i="1"/>
  <c r="L24" i="1"/>
  <c r="L64" i="1"/>
  <c r="L57" i="1"/>
  <c r="M81" i="1"/>
  <c r="M83" i="1" s="1"/>
  <c r="M68" i="1"/>
  <c r="M69" i="1" s="1"/>
  <c r="M23" i="1"/>
  <c r="M30" i="1" s="1"/>
  <c r="M39" i="1" s="1"/>
  <c r="M82" i="1"/>
  <c r="Q31" i="1"/>
  <c r="D96" i="1"/>
  <c r="N69" i="1"/>
  <c r="P31" i="1"/>
  <c r="C29" i="3" l="1"/>
  <c r="D28" i="3"/>
  <c r="C81" i="1"/>
  <c r="L81" i="1"/>
  <c r="L83" i="1" s="1"/>
  <c r="L87" i="1" s="1"/>
  <c r="L79" i="1"/>
  <c r="L82" i="1" s="1"/>
  <c r="C83" i="1"/>
  <c r="C87" i="1" s="1"/>
  <c r="D84" i="1"/>
  <c r="S84" i="1"/>
  <c r="C84" i="1"/>
  <c r="C86" i="1"/>
  <c r="M85" i="1"/>
  <c r="M87" i="1"/>
  <c r="M84" i="1"/>
  <c r="M86" i="1"/>
  <c r="M73" i="1"/>
  <c r="L65" i="1"/>
  <c r="L23" i="1"/>
  <c r="L30" i="1" s="1"/>
  <c r="L39" i="1" s="1"/>
  <c r="L68" i="1"/>
  <c r="L69" i="1" s="1"/>
  <c r="H96" i="1"/>
  <c r="H97" i="1"/>
  <c r="M96" i="1"/>
  <c r="L85" i="1" l="1"/>
  <c r="C85" i="1"/>
  <c r="L84" i="1"/>
  <c r="L86" i="1"/>
  <c r="L73" i="1"/>
  <c r="F51" i="1"/>
  <c r="G25" i="1"/>
  <c r="G38" i="1" s="1"/>
  <c r="L31" i="1"/>
  <c r="G34" i="1"/>
  <c r="G30" i="1" l="1"/>
  <c r="E51" i="1"/>
  <c r="D51" i="1" s="1"/>
  <c r="H51" i="1"/>
  <c r="C51" i="1" l="1"/>
  <c r="H25" i="1"/>
  <c r="H38" i="1" s="1"/>
  <c r="H64" i="1"/>
  <c r="H82" i="1"/>
  <c r="G84" i="1" s="1"/>
  <c r="H83" i="1"/>
  <c r="G85" i="1" s="1"/>
  <c r="G57" i="1"/>
  <c r="H69" i="1"/>
  <c r="O30" i="1"/>
  <c r="O39" i="1" s="1"/>
  <c r="H65" i="1" l="1"/>
  <c r="H73" i="1"/>
  <c r="H30" i="1"/>
  <c r="H31" i="1" s="1"/>
  <c r="F14" i="1"/>
  <c r="F25" i="1"/>
  <c r="E54" i="1"/>
  <c r="D54" i="1" s="1"/>
  <c r="O31" i="1"/>
  <c r="G69" i="1"/>
  <c r="N30" i="1"/>
  <c r="M31" i="1" l="1"/>
  <c r="N39" i="1"/>
  <c r="C54" i="1"/>
  <c r="D25" i="1"/>
  <c r="D64" i="1"/>
  <c r="F17" i="1"/>
  <c r="E14" i="1"/>
  <c r="D14" i="1" s="1"/>
  <c r="E25" i="1"/>
  <c r="E64" i="1"/>
  <c r="N31" i="1"/>
  <c r="G31" i="1"/>
  <c r="G65" i="1"/>
  <c r="D65" i="1" l="1"/>
  <c r="C25" i="1"/>
  <c r="C64" i="1"/>
  <c r="C14" i="1"/>
  <c r="C17" i="1" s="1"/>
  <c r="D17" i="1"/>
  <c r="E17" i="1"/>
  <c r="F64" i="1"/>
  <c r="E65" i="1"/>
  <c r="F58" i="1"/>
  <c r="F68" i="1" s="1"/>
  <c r="F73" i="1" l="1"/>
  <c r="F76" i="1" s="1"/>
  <c r="C65" i="1"/>
  <c r="F65" i="1"/>
  <c r="F24" i="1"/>
  <c r="F38" i="1" s="1"/>
  <c r="F69" i="1"/>
  <c r="E58" i="1"/>
  <c r="E68" i="1" l="1"/>
  <c r="D58" i="1"/>
  <c r="F30" i="1"/>
  <c r="F31" i="1" s="1"/>
  <c r="E24" i="1"/>
  <c r="E69" i="1" l="1"/>
  <c r="E73" i="1"/>
  <c r="E76" i="1" s="1"/>
  <c r="D24" i="1"/>
  <c r="C58" i="1"/>
  <c r="D68" i="1"/>
  <c r="E38" i="1"/>
  <c r="E30" i="1"/>
  <c r="D69" i="1" l="1"/>
  <c r="D73" i="1"/>
  <c r="D76" i="1" s="1"/>
  <c r="C24" i="1"/>
  <c r="C68" i="1"/>
  <c r="D30" i="1"/>
  <c r="D31" i="1" s="1"/>
  <c r="D38" i="1"/>
  <c r="E31" i="1"/>
  <c r="C69" i="1" l="1"/>
  <c r="C73" i="1"/>
  <c r="C76" i="1" s="1"/>
  <c r="C30" i="1"/>
  <c r="C31" i="1" s="1"/>
  <c r="C38" i="1"/>
</calcChain>
</file>

<file path=xl/comments1.xml><?xml version="1.0" encoding="utf-8"?>
<comments xmlns="http://schemas.openxmlformats.org/spreadsheetml/2006/main">
  <authors>
    <author>Dawn Monahan</author>
    <author>Steve Mackenzie</author>
  </authors>
  <commentList>
    <comment ref="H27" authorId="0" shapeId="0">
      <text>
        <r>
          <rPr>
            <b/>
            <sz val="9"/>
            <color indexed="81"/>
            <rFont val="Tahoma"/>
            <family val="2"/>
          </rPr>
          <t>Dawn Monahan:</t>
        </r>
        <r>
          <rPr>
            <sz val="9"/>
            <color indexed="81"/>
            <rFont val="Tahoma"/>
            <family val="2"/>
          </rPr>
          <t xml:space="preserve">
reconnection fee 462.50
water SDC 38k
Service Calls 21.7k
Deep Rock Debt Svc 7.4k</t>
        </r>
      </text>
    </comment>
    <comment ref="H28" authorId="0" shapeId="0">
      <text>
        <r>
          <rPr>
            <b/>
            <sz val="9"/>
            <color indexed="81"/>
            <rFont val="Tahoma"/>
            <family val="2"/>
          </rPr>
          <t>Dawn Monahan:</t>
        </r>
        <r>
          <rPr>
            <sz val="9"/>
            <color indexed="81"/>
            <rFont val="Tahoma"/>
            <family val="2"/>
          </rPr>
          <t xml:space="preserve">
Int/Pen 34.3k
</t>
        </r>
      </text>
    </comment>
    <comment ref="H29" authorId="0" shapeId="0">
      <text>
        <r>
          <rPr>
            <b/>
            <sz val="9"/>
            <color indexed="81"/>
            <rFont val="Tahoma"/>
            <family val="2"/>
          </rPr>
          <t>Dawn Monahan:</t>
        </r>
        <r>
          <rPr>
            <sz val="9"/>
            <color indexed="81"/>
            <rFont val="Tahoma"/>
            <family val="2"/>
          </rPr>
          <t xml:space="preserve">
Neg Interest 37.2k
</t>
        </r>
      </text>
    </comment>
    <comment ref="B34" authorId="1" shapeId="0">
      <text>
        <r>
          <rPr>
            <b/>
            <sz val="9"/>
            <color indexed="81"/>
            <rFont val="Tahoma"/>
            <family val="2"/>
          </rPr>
          <t>% Increase arbitrarily assumed by Dawn</t>
        </r>
      </text>
    </comment>
    <comment ref="H60" authorId="1" shapeId="0">
      <text>
        <r>
          <rPr>
            <b/>
            <sz val="9"/>
            <color indexed="81"/>
            <rFont val="Tahoma"/>
            <family val="2"/>
          </rPr>
          <t xml:space="preserve">Sum of 4 Qtrs
</t>
        </r>
      </text>
    </comment>
  </commentList>
</comments>
</file>

<file path=xl/sharedStrings.xml><?xml version="1.0" encoding="utf-8"?>
<sst xmlns="http://schemas.openxmlformats.org/spreadsheetml/2006/main" count="258" uniqueCount="143">
  <si>
    <t>FY21</t>
  </si>
  <si>
    <t>FY20</t>
  </si>
  <si>
    <t>FY19</t>
  </si>
  <si>
    <t>FY18</t>
  </si>
  <si>
    <t>FY17</t>
  </si>
  <si>
    <t>Sewer Rate</t>
  </si>
  <si>
    <t>Usage</t>
  </si>
  <si>
    <t>Sewer Rate Revenue</t>
  </si>
  <si>
    <t>Sewer Base</t>
  </si>
  <si>
    <t>Sewer Base Revenue</t>
  </si>
  <si>
    <t>Wholesale Revenue</t>
  </si>
  <si>
    <t>FYE Adj</t>
  </si>
  <si>
    <t>Operating Expenses</t>
  </si>
  <si>
    <t>User Accounts</t>
  </si>
  <si>
    <t>Volume</t>
  </si>
  <si>
    <t>Fixed Quarterly Bill</t>
  </si>
  <si>
    <t>Debt Service Interest</t>
  </si>
  <si>
    <t>Change in Net Position</t>
  </si>
  <si>
    <t>Debt Service Principal</t>
  </si>
  <si>
    <t>$2.5m Debt Interest</t>
  </si>
  <si>
    <t>$2.5m Debt Principal</t>
  </si>
  <si>
    <t>Sewer Sales</t>
  </si>
  <si>
    <t>Sewer Base Sales</t>
  </si>
  <si>
    <t>$900k Debt Interest</t>
  </si>
  <si>
    <t>$900k Debt Principal</t>
  </si>
  <si>
    <t>Volume Increase YOY</t>
  </si>
  <si>
    <t>Total Base Revenue</t>
  </si>
  <si>
    <t>Total Operating Expenses</t>
  </si>
  <si>
    <t>Total Volume Sales</t>
  </si>
  <si>
    <t>Increase Base</t>
  </si>
  <si>
    <t>Increase Volume</t>
  </si>
  <si>
    <t>Barre Town</t>
  </si>
  <si>
    <t>Avg Qtrly Billing</t>
  </si>
  <si>
    <t>Big Dig - SoV</t>
  </si>
  <si>
    <t>Big Dig/Jockey Hollow SoV</t>
  </si>
  <si>
    <t>Avg Annual 4-Person Billing</t>
  </si>
  <si>
    <t>Avg Annual Single Billing</t>
  </si>
  <si>
    <t>item</t>
  </si>
  <si>
    <t>Barre Housing (455 N Main)</t>
  </si>
  <si>
    <t>Barre Gardens</t>
  </si>
  <si>
    <t>water base charge</t>
  </si>
  <si>
    <t>sewer base charge</t>
  </si>
  <si>
    <t>total bill based on # units of usage</t>
  </si>
  <si>
    <t>Other Water Charges - Recon Fee, SDC, Svc. Call</t>
  </si>
  <si>
    <t>Non-Rate Based Income (Other Water Charges)</t>
  </si>
  <si>
    <t>Negative Interest on Bonds</t>
  </si>
  <si>
    <t>Other Income - Interest/Penalties</t>
  </si>
  <si>
    <t>Other Sewer Charges - App Fee, STP, SDC, Svc. Call</t>
  </si>
  <si>
    <t>Non-Rate Based Income (Other Sewer Charges)</t>
  </si>
  <si>
    <t>Fed/State Aid</t>
  </si>
  <si>
    <t>FY22</t>
  </si>
  <si>
    <t>FY23</t>
  </si>
  <si>
    <t>Interest Debt Service</t>
  </si>
  <si>
    <t>Principal Debt Service</t>
  </si>
  <si>
    <t>Total</t>
  </si>
  <si>
    <t>projected (FY20)</t>
  </si>
  <si>
    <t>Increase YOY - 4 Person</t>
  </si>
  <si>
    <t>Increase YOY - Single</t>
  </si>
  <si>
    <t>Barre City</t>
  </si>
  <si>
    <t>Montpelier</t>
  </si>
  <si>
    <t>Water</t>
  </si>
  <si>
    <t>Gal</t>
  </si>
  <si>
    <t>CUFT per Gal</t>
  </si>
  <si>
    <t>Sewer</t>
  </si>
  <si>
    <t>Flat</t>
  </si>
  <si>
    <t>CURRENT</t>
  </si>
  <si>
    <t>PROPOSED</t>
  </si>
  <si>
    <t>$ Amt</t>
  </si>
  <si>
    <t>FY20 Total Bill Increase</t>
  </si>
  <si>
    <t>% Increase - 4 Person</t>
  </si>
  <si>
    <t>% Increase - Single</t>
  </si>
  <si>
    <t>Total Net Profit/(Loss)</t>
  </si>
  <si>
    <t xml:space="preserve">Total Net Profit/(Loss) </t>
  </si>
  <si>
    <t>WATER</t>
  </si>
  <si>
    <t>SEWER</t>
  </si>
  <si>
    <t>Avg 4-Person Family Usage (CF)</t>
  </si>
  <si>
    <t>Avg Single Usage (CF)</t>
  </si>
  <si>
    <t>Price per CF</t>
  </si>
  <si>
    <t>Current (FY19)</t>
  </si>
  <si>
    <t>Current Bill</t>
  </si>
  <si>
    <t>Current Rate</t>
  </si>
  <si>
    <t>Water Volume</t>
  </si>
  <si>
    <t>Water Base</t>
  </si>
  <si>
    <t>Sewer Volume</t>
  </si>
  <si>
    <t>Increase/Qtr</t>
  </si>
  <si>
    <t>Increase/Year</t>
  </si>
  <si>
    <r>
      <t xml:space="preserve">WATER Rate </t>
    </r>
    <r>
      <rPr>
        <sz val="11"/>
        <color rgb="FFFF0000"/>
        <rFont val="Calibri"/>
        <family val="2"/>
        <scheme val="minor"/>
      </rPr>
      <t>($/hcf)</t>
    </r>
  </si>
  <si>
    <r>
      <t xml:space="preserve">Usage </t>
    </r>
    <r>
      <rPr>
        <sz val="11"/>
        <color rgb="FFFF0000"/>
        <rFont val="Calibri"/>
        <family val="2"/>
        <scheme val="minor"/>
      </rPr>
      <t>(hcf)</t>
    </r>
  </si>
  <si>
    <r>
      <t xml:space="preserve">Water Rate Revenue </t>
    </r>
    <r>
      <rPr>
        <sz val="11"/>
        <color rgb="FFFF0000"/>
        <rFont val="Calibri"/>
        <family val="2"/>
        <scheme val="minor"/>
      </rPr>
      <t>($)</t>
    </r>
  </si>
  <si>
    <r>
      <t xml:space="preserve">WATER Base </t>
    </r>
    <r>
      <rPr>
        <sz val="11"/>
        <color rgb="FFFF0000"/>
        <rFont val="Calibri"/>
        <family val="2"/>
        <scheme val="minor"/>
      </rPr>
      <t>($)</t>
    </r>
  </si>
  <si>
    <r>
      <t xml:space="preserve">Water Base Revenue </t>
    </r>
    <r>
      <rPr>
        <sz val="11"/>
        <color rgb="FFFF0000"/>
        <rFont val="Calibri"/>
        <family val="2"/>
        <scheme val="minor"/>
      </rPr>
      <t>($)</t>
    </r>
  </si>
  <si>
    <t>Water Misc.</t>
  </si>
  <si>
    <t>Sewer Misc.</t>
  </si>
  <si>
    <t>Rounding/Misc.</t>
  </si>
  <si>
    <t>Total Annual Revenue:</t>
  </si>
  <si>
    <t>Water Misc. Sales - Sprinkler, Flat Water Charge, One Time Charges</t>
  </si>
  <si>
    <t>Sewer Misc. Sales - EE Sewer Rate, One-Time Charges</t>
  </si>
  <si>
    <t>FY20 Total Bill Increase Per Qtr.</t>
  </si>
  <si>
    <t>water usage per unit (100 Cubic ft.)</t>
  </si>
  <si>
    <t>sewer usage per unit of water (100 Cubic ft.)</t>
  </si>
  <si>
    <t>Increase per Qtr.</t>
  </si>
  <si>
    <r>
      <t xml:space="preserve">Total Operating Expenses </t>
    </r>
    <r>
      <rPr>
        <sz val="11"/>
        <color rgb="FFFF0000"/>
        <rFont val="Calibri"/>
        <family val="2"/>
        <scheme val="minor"/>
      </rPr>
      <t>($)</t>
    </r>
  </si>
  <si>
    <r>
      <t>Total Volume Sales</t>
    </r>
    <r>
      <rPr>
        <sz val="11"/>
        <color rgb="FFFF0000"/>
        <rFont val="Calibri"/>
        <family val="2"/>
        <scheme val="minor"/>
      </rPr>
      <t xml:space="preserve"> ($)</t>
    </r>
  </si>
  <si>
    <r>
      <t xml:space="preserve">Interest Debt Service </t>
    </r>
    <r>
      <rPr>
        <sz val="11"/>
        <color rgb="FFFF0000"/>
        <rFont val="Calibri"/>
        <family val="2"/>
        <scheme val="minor"/>
      </rPr>
      <t>($)</t>
    </r>
  </si>
  <si>
    <r>
      <t xml:space="preserve">Total Base Revenue </t>
    </r>
    <r>
      <rPr>
        <sz val="11"/>
        <color rgb="FFFF0000"/>
        <rFont val="Calibri"/>
        <family val="2"/>
        <scheme val="minor"/>
      </rPr>
      <t>($)</t>
    </r>
  </si>
  <si>
    <r>
      <t xml:space="preserve">Increase Base </t>
    </r>
    <r>
      <rPr>
        <sz val="11"/>
        <color rgb="FFFF0000"/>
        <rFont val="Calibri"/>
        <family val="2"/>
        <scheme val="minor"/>
      </rPr>
      <t>(%)</t>
    </r>
  </si>
  <si>
    <r>
      <t xml:space="preserve">Increase Volume </t>
    </r>
    <r>
      <rPr>
        <sz val="11"/>
        <color rgb="FFFF0000"/>
        <rFont val="Calibri"/>
        <family val="2"/>
        <scheme val="minor"/>
      </rPr>
      <t>(%)</t>
    </r>
  </si>
  <si>
    <r>
      <t>Price per</t>
    </r>
    <r>
      <rPr>
        <b/>
        <sz val="11"/>
        <color rgb="FFFF0000"/>
        <rFont val="Calibri"/>
        <family val="2"/>
        <scheme val="minor"/>
      </rPr>
      <t xml:space="preserve"> hCF  </t>
    </r>
    <r>
      <rPr>
        <sz val="11"/>
        <color rgb="FFFF0000"/>
        <rFont val="Calibri"/>
        <family val="2"/>
        <scheme val="minor"/>
      </rPr>
      <t>($/hcf)</t>
    </r>
  </si>
  <si>
    <r>
      <t xml:space="preserve">Fixed </t>
    </r>
    <r>
      <rPr>
        <b/>
        <sz val="11"/>
        <color theme="1"/>
        <rFont val="Calibri"/>
        <family val="2"/>
        <scheme val="minor"/>
      </rPr>
      <t>Quarterly</t>
    </r>
    <r>
      <rPr>
        <sz val="11"/>
        <color theme="1"/>
        <rFont val="Calibri"/>
        <family val="2"/>
        <scheme val="minor"/>
      </rPr>
      <t xml:space="preserve"> Bill  </t>
    </r>
    <r>
      <rPr>
        <sz val="11"/>
        <color rgb="FFFF0000"/>
        <rFont val="Calibri"/>
        <family val="2"/>
        <scheme val="minor"/>
      </rPr>
      <t>($/Connection)</t>
    </r>
  </si>
  <si>
    <r>
      <t>Quarterly Wholesale Base</t>
    </r>
    <r>
      <rPr>
        <sz val="11"/>
        <color rgb="FFFF0000"/>
        <rFont val="Calibri"/>
        <family val="2"/>
        <scheme val="minor"/>
      </rPr>
      <t xml:space="preserve"> ($)</t>
    </r>
  </si>
  <si>
    <r>
      <t xml:space="preserve">Annual Volume Increase YOY </t>
    </r>
    <r>
      <rPr>
        <sz val="11"/>
        <color rgb="FFFF0000"/>
        <rFont val="Calibri"/>
        <family val="2"/>
        <scheme val="minor"/>
      </rPr>
      <t>(%)</t>
    </r>
  </si>
  <si>
    <r>
      <t xml:space="preserve">Annual Volume </t>
    </r>
    <r>
      <rPr>
        <sz val="11"/>
        <color rgb="FFFF0000"/>
        <rFont val="Calibri"/>
        <family val="2"/>
        <scheme val="minor"/>
      </rPr>
      <t xml:space="preserve">(hcf) </t>
    </r>
  </si>
  <si>
    <r>
      <t xml:space="preserve">Annual Wholesale Volume </t>
    </r>
    <r>
      <rPr>
        <sz val="11"/>
        <color rgb="FFFF0000"/>
        <rFont val="Calibri"/>
        <family val="2"/>
        <scheme val="minor"/>
      </rPr>
      <t>(hcf)</t>
    </r>
  </si>
  <si>
    <r>
      <t>Avg 4-Person Family Usage (</t>
    </r>
    <r>
      <rPr>
        <sz val="11"/>
        <color rgb="FFFF0000"/>
        <rFont val="Calibri"/>
        <family val="2"/>
        <scheme val="minor"/>
      </rPr>
      <t>hcf)</t>
    </r>
  </si>
  <si>
    <r>
      <t xml:space="preserve">Avg Single Usage </t>
    </r>
    <r>
      <rPr>
        <sz val="11"/>
        <color rgb="FFFF0000"/>
        <rFont val="Calibri"/>
        <family val="2"/>
        <scheme val="minor"/>
      </rPr>
      <t>(hcf)</t>
    </r>
  </si>
  <si>
    <t>Avg Qtrly Billing ($)</t>
  </si>
  <si>
    <r>
      <t xml:space="preserve">Water Sales </t>
    </r>
    <r>
      <rPr>
        <sz val="11"/>
        <color rgb="FFFF0000"/>
        <rFont val="Calibri"/>
        <family val="2"/>
        <scheme val="minor"/>
      </rPr>
      <t>($)</t>
    </r>
  </si>
  <si>
    <r>
      <t xml:space="preserve">Water Base Sales </t>
    </r>
    <r>
      <rPr>
        <sz val="11"/>
        <color rgb="FFFF0000"/>
        <rFont val="Calibri"/>
        <family val="2"/>
        <scheme val="minor"/>
      </rPr>
      <t>($)</t>
    </r>
  </si>
  <si>
    <r>
      <t>Total Income</t>
    </r>
    <r>
      <rPr>
        <sz val="11"/>
        <color rgb="FFFF0000"/>
        <rFont val="Calibri"/>
        <family val="2"/>
        <scheme val="minor"/>
      </rPr>
      <t xml:space="preserve"> ($)</t>
    </r>
  </si>
  <si>
    <r>
      <t>YOY Change</t>
    </r>
    <r>
      <rPr>
        <sz val="11"/>
        <color rgb="FFFF0000"/>
        <rFont val="Calibri"/>
        <family val="2"/>
        <scheme val="minor"/>
      </rPr>
      <t xml:space="preserve"> (%)</t>
    </r>
  </si>
  <si>
    <r>
      <t>Operating Exp YOY</t>
    </r>
    <r>
      <rPr>
        <sz val="11"/>
        <color rgb="FFFF0000"/>
        <rFont val="Calibri"/>
        <family val="2"/>
        <scheme val="minor"/>
      </rPr>
      <t xml:space="preserve"> (%)</t>
    </r>
  </si>
  <si>
    <r>
      <t xml:space="preserve">Operating Expenses </t>
    </r>
    <r>
      <rPr>
        <sz val="11"/>
        <color rgb="FFFF0000"/>
        <rFont val="Calibri"/>
        <family val="2"/>
        <scheme val="minor"/>
      </rPr>
      <t xml:space="preserve">($) </t>
    </r>
  </si>
  <si>
    <r>
      <t xml:space="preserve">Change in Net Position </t>
    </r>
    <r>
      <rPr>
        <sz val="11"/>
        <color rgb="FFFF0000"/>
        <rFont val="Calibri"/>
        <family val="2"/>
        <scheme val="minor"/>
      </rPr>
      <t>(Annual Fund Balance)</t>
    </r>
  </si>
  <si>
    <t xml:space="preserve"> </t>
  </si>
  <si>
    <t>Cash Flow</t>
  </si>
  <si>
    <t>Add Back Depreciation (Non-cash)</t>
  </si>
  <si>
    <t>HCF</t>
  </si>
  <si>
    <t>HCF per Gal</t>
  </si>
  <si>
    <t>30 HCF = 22,442 Gal</t>
  </si>
  <si>
    <t>3000 CF = 22,442 Gal</t>
  </si>
  <si>
    <t>CF</t>
  </si>
  <si>
    <t>City of Rutland*</t>
  </si>
  <si>
    <t>St. Albans City*</t>
  </si>
  <si>
    <t>Waterbury*</t>
  </si>
  <si>
    <t>*Data pulled from City of Rutland Rate Study issued 11/26/18; rates represent information as of November 2018</t>
  </si>
  <si>
    <t>Burlington*^</t>
  </si>
  <si>
    <t>^Also charge a Stormwater flat fee</t>
  </si>
  <si>
    <t>St. Johnsbury*</t>
  </si>
  <si>
    <t>Bradford*</t>
  </si>
  <si>
    <t>Average</t>
  </si>
  <si>
    <t>Median</t>
  </si>
  <si>
    <t>DM 8/12/19 council proposed FY20 rates (SEM 8/09/19) (DM 8/5/19)</t>
  </si>
  <si>
    <t>Comparion of Water/Sewer Rates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</si>
</sst>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5" formatCode="&quot;$&quot;#,##0_);\(&quot;$&quot;#,##0\)"/>
    <numFmt numFmtId="8" formatCode="&quot;$&quot;#,##0.00_);[Red]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_(&quot;$&quot;* #,##0_);_(&quot;$&quot;* \(#,##0\);_(&quot;$&quot;* &quot;-&quot;??_);_(@_)"/>
    <numFmt numFmtId="167" formatCode="_(* #,##0.000_);_(* \(#,##0.000\);_(* &quot;-&quot;??_);_(@_)"/>
    <numFmt numFmtId="168" formatCode="&quot;$&quot;#,##0"/>
    <numFmt numFmtId="169" formatCode="0.000"/>
    <numFmt numFmtId="175" formatCode="m/d/yy;@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59999389629810485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FF0000"/>
      </left>
      <right/>
      <top style="thin">
        <color rgb="FFFF0000"/>
      </top>
      <bottom/>
      <diagonal/>
    </border>
    <border>
      <left/>
      <right/>
      <top style="thin">
        <color rgb="FFFF0000"/>
      </top>
      <bottom/>
      <diagonal/>
    </border>
    <border>
      <left/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/>
      <top/>
      <bottom/>
      <diagonal/>
    </border>
    <border>
      <left/>
      <right style="thin">
        <color rgb="FFFF0000"/>
      </right>
      <top/>
      <bottom/>
      <diagonal/>
    </border>
    <border>
      <left style="thin">
        <color rgb="FFFF0000"/>
      </left>
      <right/>
      <top/>
      <bottom style="thin">
        <color rgb="FFFF0000"/>
      </bottom>
      <diagonal/>
    </border>
    <border>
      <left/>
      <right/>
      <top/>
      <bottom style="thin">
        <color rgb="FFFF0000"/>
      </bottom>
      <diagonal/>
    </border>
    <border>
      <left/>
      <right style="thin">
        <color rgb="FFFF0000"/>
      </right>
      <top/>
      <bottom style="thin">
        <color rgb="FFFF0000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31">
    <xf numFmtId="0" fontId="0" fillId="0" borderId="0" xfId="0"/>
    <xf numFmtId="164" fontId="0" fillId="0" borderId="0" xfId="1" applyNumberFormat="1" applyFont="1"/>
    <xf numFmtId="43" fontId="0" fillId="0" borderId="0" xfId="1" applyNumberFormat="1" applyFont="1"/>
    <xf numFmtId="165" fontId="0" fillId="0" borderId="0" xfId="2" applyNumberFormat="1" applyFont="1"/>
    <xf numFmtId="43" fontId="0" fillId="0" borderId="0" xfId="1" applyNumberFormat="1" applyFont="1" applyFill="1"/>
    <xf numFmtId="164" fontId="0" fillId="0" borderId="1" xfId="1" applyNumberFormat="1" applyFont="1" applyBorder="1"/>
    <xf numFmtId="164" fontId="0" fillId="0" borderId="0" xfId="1" applyNumberFormat="1" applyFont="1" applyBorder="1"/>
    <xf numFmtId="164" fontId="0" fillId="0" borderId="0" xfId="1" applyNumberFormat="1" applyFont="1" applyFill="1"/>
    <xf numFmtId="10" fontId="0" fillId="0" borderId="0" xfId="2" applyNumberFormat="1" applyFont="1"/>
    <xf numFmtId="43" fontId="0" fillId="0" borderId="0" xfId="1" applyFont="1"/>
    <xf numFmtId="0" fontId="0" fillId="0" borderId="2" xfId="0" applyBorder="1"/>
    <xf numFmtId="10" fontId="0" fillId="0" borderId="3" xfId="2" applyNumberFormat="1" applyFont="1" applyBorder="1"/>
    <xf numFmtId="164" fontId="0" fillId="0" borderId="3" xfId="1" applyNumberFormat="1" applyFont="1" applyBorder="1"/>
    <xf numFmtId="164" fontId="0" fillId="0" borderId="4" xfId="1" applyNumberFormat="1" applyFont="1" applyBorder="1"/>
    <xf numFmtId="0" fontId="0" fillId="0" borderId="5" xfId="0" applyBorder="1"/>
    <xf numFmtId="43" fontId="0" fillId="0" borderId="0" xfId="1" applyFont="1" applyBorder="1"/>
    <xf numFmtId="164" fontId="0" fillId="0" borderId="6" xfId="1" applyNumberFormat="1" applyFont="1" applyBorder="1"/>
    <xf numFmtId="10" fontId="0" fillId="0" borderId="0" xfId="2" applyNumberFormat="1" applyFont="1" applyBorder="1"/>
    <xf numFmtId="0" fontId="0" fillId="0" borderId="7" xfId="0" applyBorder="1"/>
    <xf numFmtId="164" fontId="0" fillId="0" borderId="8" xfId="1" applyNumberFormat="1" applyFont="1" applyBorder="1"/>
    <xf numFmtId="165" fontId="0" fillId="0" borderId="0" xfId="1" applyNumberFormat="1" applyFont="1"/>
    <xf numFmtId="10" fontId="0" fillId="0" borderId="0" xfId="1" applyNumberFormat="1" applyFont="1"/>
    <xf numFmtId="164" fontId="0" fillId="0" borderId="0" xfId="0" applyNumberFormat="1"/>
    <xf numFmtId="43" fontId="0" fillId="0" borderId="0" xfId="0" applyNumberFormat="1"/>
    <xf numFmtId="164" fontId="0" fillId="0" borderId="0" xfId="1" applyNumberFormat="1" applyFont="1" applyFill="1" applyBorder="1"/>
    <xf numFmtId="164" fontId="0" fillId="0" borderId="1" xfId="1" applyNumberFormat="1" applyFont="1" applyFill="1" applyBorder="1"/>
    <xf numFmtId="43" fontId="0" fillId="0" borderId="0" xfId="1" applyFont="1" applyFill="1" applyBorder="1"/>
    <xf numFmtId="0" fontId="0" fillId="0" borderId="2" xfId="0" applyFill="1" applyBorder="1"/>
    <xf numFmtId="10" fontId="0" fillId="0" borderId="3" xfId="2" applyNumberFormat="1" applyFont="1" applyFill="1" applyBorder="1"/>
    <xf numFmtId="164" fontId="0" fillId="0" borderId="3" xfId="1" applyNumberFormat="1" applyFont="1" applyFill="1" applyBorder="1"/>
    <xf numFmtId="0" fontId="0" fillId="0" borderId="5" xfId="0" applyFill="1" applyBorder="1"/>
    <xf numFmtId="10" fontId="0" fillId="0" borderId="0" xfId="2" applyNumberFormat="1" applyFont="1" applyFill="1" applyBorder="1"/>
    <xf numFmtId="0" fontId="0" fillId="0" borderId="7" xfId="0" applyFill="1" applyBorder="1"/>
    <xf numFmtId="166" fontId="0" fillId="0" borderId="1" xfId="3" applyNumberFormat="1" applyFont="1" applyFill="1" applyBorder="1"/>
    <xf numFmtId="166" fontId="0" fillId="0" borderId="0" xfId="3" applyNumberFormat="1" applyFont="1" applyFill="1" applyBorder="1"/>
    <xf numFmtId="166" fontId="0" fillId="0" borderId="3" xfId="3" applyNumberFormat="1" applyFont="1" applyBorder="1"/>
    <xf numFmtId="166" fontId="0" fillId="0" borderId="0" xfId="3" applyNumberFormat="1" applyFont="1" applyBorder="1"/>
    <xf numFmtId="166" fontId="0" fillId="0" borderId="1" xfId="3" applyNumberFormat="1" applyFont="1" applyBorder="1"/>
    <xf numFmtId="164" fontId="0" fillId="0" borderId="9" xfId="1" applyNumberFormat="1" applyFont="1" applyBorder="1"/>
    <xf numFmtId="0" fontId="2" fillId="0" borderId="9" xfId="0" applyFont="1" applyBorder="1" applyAlignment="1">
      <alignment vertical="center" wrapText="1"/>
    </xf>
    <xf numFmtId="43" fontId="0" fillId="0" borderId="9" xfId="1" applyNumberFormat="1" applyFont="1" applyBorder="1"/>
    <xf numFmtId="167" fontId="0" fillId="0" borderId="0" xfId="0" applyNumberFormat="1"/>
    <xf numFmtId="8" fontId="0" fillId="0" borderId="0" xfId="1" applyNumberFormat="1" applyFont="1"/>
    <xf numFmtId="43" fontId="0" fillId="0" borderId="0" xfId="1" applyNumberFormat="1" applyFont="1" applyBorder="1"/>
    <xf numFmtId="164" fontId="0" fillId="0" borderId="10" xfId="1" applyNumberFormat="1" applyFont="1" applyBorder="1"/>
    <xf numFmtId="164" fontId="0" fillId="2" borderId="0" xfId="1" applyNumberFormat="1" applyFont="1" applyFill="1" applyBorder="1"/>
    <xf numFmtId="43" fontId="0" fillId="0" borderId="0" xfId="1" applyNumberFormat="1" applyFont="1" applyFill="1" applyBorder="1"/>
    <xf numFmtId="166" fontId="0" fillId="3" borderId="0" xfId="3" applyNumberFormat="1" applyFont="1" applyFill="1" applyBorder="1"/>
    <xf numFmtId="166" fontId="0" fillId="3" borderId="1" xfId="3" applyNumberFormat="1" applyFont="1" applyFill="1" applyBorder="1"/>
    <xf numFmtId="0" fontId="0" fillId="0" borderId="0" xfId="0" applyAlignment="1">
      <alignment horizontal="center"/>
    </xf>
    <xf numFmtId="43" fontId="0" fillId="0" borderId="1" xfId="1" applyFont="1" applyBorder="1"/>
    <xf numFmtId="43" fontId="0" fillId="0" borderId="1" xfId="0" applyNumberFormat="1" applyBorder="1"/>
    <xf numFmtId="165" fontId="0" fillId="3" borderId="0" xfId="2" applyNumberFormat="1" applyFont="1" applyFill="1" applyBorder="1"/>
    <xf numFmtId="165" fontId="0" fillId="0" borderId="0" xfId="2" applyNumberFormat="1" applyFont="1" applyFill="1" applyBorder="1"/>
    <xf numFmtId="9" fontId="0" fillId="0" borderId="0" xfId="2" applyFont="1"/>
    <xf numFmtId="165" fontId="0" fillId="3" borderId="0" xfId="2" applyNumberFormat="1" applyFont="1" applyFill="1"/>
    <xf numFmtId="44" fontId="0" fillId="0" borderId="0" xfId="3" applyFont="1"/>
    <xf numFmtId="44" fontId="0" fillId="3" borderId="0" xfId="3" applyFont="1" applyFill="1"/>
    <xf numFmtId="44" fontId="0" fillId="0" borderId="0" xfId="0" applyNumberFormat="1"/>
    <xf numFmtId="9" fontId="0" fillId="0" borderId="0" xfId="2" applyFont="1" applyFill="1" applyBorder="1"/>
    <xf numFmtId="10" fontId="0" fillId="4" borderId="0" xfId="2" applyNumberFormat="1" applyFont="1" applyFill="1" applyBorder="1"/>
    <xf numFmtId="43" fontId="0" fillId="4" borderId="3" xfId="1" applyFont="1" applyFill="1" applyBorder="1"/>
    <xf numFmtId="43" fontId="0" fillId="4" borderId="0" xfId="1" applyFont="1" applyFill="1" applyBorder="1"/>
    <xf numFmtId="0" fontId="5" fillId="0" borderId="0" xfId="0" applyFont="1"/>
    <xf numFmtId="165" fontId="0" fillId="0" borderId="0" xfId="2" applyNumberFormat="1" applyFont="1" applyBorder="1"/>
    <xf numFmtId="43" fontId="0" fillId="0" borderId="6" xfId="1" applyNumberFormat="1" applyFont="1" applyBorder="1"/>
    <xf numFmtId="9" fontId="0" fillId="0" borderId="0" xfId="2" applyFont="1" applyBorder="1"/>
    <xf numFmtId="0" fontId="0" fillId="5" borderId="0" xfId="0" applyFill="1"/>
    <xf numFmtId="0" fontId="0" fillId="0" borderId="0" xfId="0" applyFill="1"/>
    <xf numFmtId="164" fontId="5" fillId="0" borderId="0" xfId="1" applyNumberFormat="1" applyFont="1" applyAlignment="1">
      <alignment horizontal="centerContinuous"/>
    </xf>
    <xf numFmtId="0" fontId="5" fillId="0" borderId="0" xfId="0" applyFont="1" applyAlignment="1">
      <alignment horizontal="center"/>
    </xf>
    <xf numFmtId="43" fontId="5" fillId="0" borderId="0" xfId="1" applyFont="1" applyAlignment="1">
      <alignment horizontal="centerContinuous"/>
    </xf>
    <xf numFmtId="43" fontId="5" fillId="0" borderId="0" xfId="1" applyFont="1" applyAlignment="1">
      <alignment horizontal="center"/>
    </xf>
    <xf numFmtId="5" fontId="0" fillId="0" borderId="0" xfId="1" applyNumberFormat="1" applyFont="1"/>
    <xf numFmtId="168" fontId="0" fillId="0" borderId="0" xfId="1" applyNumberFormat="1" applyFont="1"/>
    <xf numFmtId="0" fontId="7" fillId="0" borderId="0" xfId="0" applyFont="1" applyAlignment="1">
      <alignment horizontal="right"/>
    </xf>
    <xf numFmtId="5" fontId="0" fillId="0" borderId="1" xfId="1" applyNumberFormat="1" applyFont="1" applyBorder="1"/>
    <xf numFmtId="3" fontId="0" fillId="0" borderId="0" xfId="1" applyNumberFormat="1" applyFont="1"/>
    <xf numFmtId="42" fontId="0" fillId="0" borderId="0" xfId="1" applyNumberFormat="1" applyFont="1" applyBorder="1"/>
    <xf numFmtId="42" fontId="0" fillId="0" borderId="1" xfId="1" applyNumberFormat="1" applyFont="1" applyBorder="1"/>
    <xf numFmtId="42" fontId="0" fillId="0" borderId="1" xfId="1" applyNumberFormat="1" applyFont="1" applyFill="1" applyBorder="1"/>
    <xf numFmtId="42" fontId="0" fillId="2" borderId="0" xfId="1" applyNumberFormat="1" applyFont="1" applyFill="1" applyBorder="1"/>
    <xf numFmtId="42" fontId="0" fillId="0" borderId="0" xfId="1" applyNumberFormat="1" applyFont="1"/>
    <xf numFmtId="0" fontId="0" fillId="4" borderId="5" xfId="0" applyFill="1" applyBorder="1"/>
    <xf numFmtId="42" fontId="0" fillId="0" borderId="6" xfId="1" applyNumberFormat="1" applyFont="1" applyBorder="1"/>
    <xf numFmtId="164" fontId="0" fillId="6" borderId="0" xfId="1" applyNumberFormat="1" applyFont="1" applyFill="1" applyBorder="1"/>
    <xf numFmtId="166" fontId="0" fillId="6" borderId="0" xfId="3" applyNumberFormat="1" applyFont="1" applyFill="1" applyBorder="1"/>
    <xf numFmtId="44" fontId="0" fillId="0" borderId="0" xfId="1" applyNumberFormat="1" applyFont="1" applyBorder="1"/>
    <xf numFmtId="44" fontId="0" fillId="0" borderId="0" xfId="1" applyNumberFormat="1" applyFont="1"/>
    <xf numFmtId="44" fontId="0" fillId="0" borderId="0" xfId="1" applyNumberFormat="1" applyFont="1" applyFill="1"/>
    <xf numFmtId="165" fontId="0" fillId="0" borderId="0" xfId="2" applyNumberFormat="1" applyFont="1" applyFill="1"/>
    <xf numFmtId="42" fontId="0" fillId="0" borderId="0" xfId="1" applyNumberFormat="1" applyFont="1" applyFill="1"/>
    <xf numFmtId="42" fontId="0" fillId="0" borderId="11" xfId="1" applyNumberFormat="1" applyFont="1" applyBorder="1"/>
    <xf numFmtId="42" fontId="0" fillId="0" borderId="10" xfId="1" applyNumberFormat="1" applyFont="1" applyBorder="1"/>
    <xf numFmtId="42" fontId="0" fillId="0" borderId="12" xfId="1" applyNumberFormat="1" applyFont="1" applyBorder="1"/>
    <xf numFmtId="168" fontId="0" fillId="0" borderId="9" xfId="1" applyNumberFormat="1" applyFont="1" applyBorder="1"/>
    <xf numFmtId="0" fontId="0" fillId="0" borderId="13" xfId="0" applyBorder="1"/>
    <xf numFmtId="164" fontId="0" fillId="0" borderId="14" xfId="1" applyNumberFormat="1" applyFont="1" applyBorder="1"/>
    <xf numFmtId="164" fontId="0" fillId="0" borderId="15" xfId="1" applyNumberFormat="1" applyFont="1" applyBorder="1"/>
    <xf numFmtId="0" fontId="7" fillId="0" borderId="0" xfId="0" applyFont="1"/>
    <xf numFmtId="0" fontId="0" fillId="0" borderId="0" xfId="0" applyAlignment="1">
      <alignment horizontal="center"/>
    </xf>
    <xf numFmtId="44" fontId="0" fillId="0" borderId="0" xfId="3" applyNumberFormat="1" applyFont="1" applyBorder="1"/>
    <xf numFmtId="42" fontId="0" fillId="0" borderId="0" xfId="1" applyNumberFormat="1" applyFont="1" applyFill="1" applyBorder="1"/>
    <xf numFmtId="164" fontId="0" fillId="0" borderId="6" xfId="1" applyNumberFormat="1" applyFont="1" applyFill="1" applyBorder="1"/>
    <xf numFmtId="169" fontId="0" fillId="0" borderId="0" xfId="0" applyNumberFormat="1"/>
    <xf numFmtId="2" fontId="0" fillId="0" borderId="0" xfId="0" applyNumberFormat="1"/>
    <xf numFmtId="0" fontId="8" fillId="0" borderId="0" xfId="0" applyFont="1"/>
    <xf numFmtId="0" fontId="0" fillId="0" borderId="0" xfId="0" applyBorder="1" applyAlignment="1">
      <alignment horizontal="center"/>
    </xf>
    <xf numFmtId="0" fontId="0" fillId="0" borderId="0" xfId="0" applyBorder="1"/>
    <xf numFmtId="43" fontId="0" fillId="0" borderId="0" xfId="0" applyNumberFormat="1" applyBorder="1"/>
    <xf numFmtId="0" fontId="0" fillId="0" borderId="19" xfId="0" applyBorder="1"/>
    <xf numFmtId="0" fontId="0" fillId="0" borderId="20" xfId="0" applyBorder="1" applyAlignment="1">
      <alignment horizontal="center"/>
    </xf>
    <xf numFmtId="0" fontId="0" fillId="0" borderId="20" xfId="0" applyBorder="1"/>
    <xf numFmtId="164" fontId="0" fillId="0" borderId="20" xfId="1" applyNumberFormat="1" applyFont="1" applyBorder="1"/>
    <xf numFmtId="165" fontId="0" fillId="0" borderId="20" xfId="2" applyNumberFormat="1" applyFont="1" applyBorder="1"/>
    <xf numFmtId="0" fontId="0" fillId="0" borderId="21" xfId="0" applyBorder="1"/>
    <xf numFmtId="43" fontId="0" fillId="0" borderId="22" xfId="0" applyNumberFormat="1" applyBorder="1"/>
    <xf numFmtId="0" fontId="0" fillId="0" borderId="23" xfId="0" applyBorder="1"/>
    <xf numFmtId="0" fontId="9" fillId="0" borderId="0" xfId="0" applyFont="1" applyAlignment="1">
      <alignment horizontal="centerContinuous"/>
    </xf>
    <xf numFmtId="175" fontId="9" fillId="0" borderId="0" xfId="0" applyNumberFormat="1" applyFont="1" applyAlignment="1">
      <alignment horizontal="left"/>
    </xf>
    <xf numFmtId="0" fontId="5" fillId="0" borderId="16" xfId="0" applyFont="1" applyBorder="1"/>
    <xf numFmtId="0" fontId="5" fillId="0" borderId="17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19" xfId="0" applyFont="1" applyBorder="1"/>
    <xf numFmtId="0" fontId="5" fillId="0" borderId="0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5" fillId="4" borderId="0" xfId="0" applyFont="1" applyFill="1"/>
    <xf numFmtId="0" fontId="5" fillId="0" borderId="20" xfId="0" applyFont="1" applyBorder="1"/>
    <xf numFmtId="43" fontId="5" fillId="0" borderId="0" xfId="0" applyNumberFormat="1" applyFont="1" applyBorder="1"/>
    <xf numFmtId="43" fontId="5" fillId="0" borderId="0" xfId="1" applyFont="1"/>
  </cellXfs>
  <cellStyles count="4">
    <cellStyle name="Comma" xfId="1" builtinId="3"/>
    <cellStyle name="Currency" xfId="3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X98"/>
  <sheetViews>
    <sheetView zoomScale="120" zoomScaleNormal="120" workbookViewId="0">
      <pane ySplit="3240" topLeftCell="A41"/>
      <selection activeCell="B2" sqref="B2"/>
      <selection pane="bottomLeft" activeCell="B46" sqref="B46"/>
    </sheetView>
  </sheetViews>
  <sheetFormatPr defaultRowHeight="15" x14ac:dyDescent="0.25"/>
  <cols>
    <col min="2" max="2" width="43.140625" customWidth="1"/>
    <col min="3" max="3" width="13.28515625" style="1" bestFit="1" customWidth="1"/>
    <col min="4" max="4" width="16.28515625" style="1" customWidth="1"/>
    <col min="5" max="7" width="13.28515625" style="1" bestFit="1" customWidth="1"/>
    <col min="8" max="8" width="16.85546875" style="1" bestFit="1" customWidth="1"/>
    <col min="9" max="9" width="14" style="1" bestFit="1" customWidth="1"/>
    <col min="10" max="10" width="9.5703125" style="1" bestFit="1" customWidth="1"/>
    <col min="11" max="11" width="29" customWidth="1"/>
    <col min="12" max="13" width="17" customWidth="1"/>
    <col min="14" max="17" width="14" style="1" bestFit="1" customWidth="1"/>
    <col min="18" max="18" width="12.28515625" style="1" bestFit="1" customWidth="1"/>
    <col min="19" max="19" width="9.5703125" style="1" bestFit="1" customWidth="1"/>
    <col min="20" max="20" width="11.5703125" bestFit="1" customWidth="1"/>
    <col min="22" max="22" width="13.28515625" bestFit="1" customWidth="1"/>
    <col min="23" max="23" width="9.5703125" bestFit="1" customWidth="1"/>
  </cols>
  <sheetData>
    <row r="1" spans="2:24" x14ac:dyDescent="0.25">
      <c r="B1" s="99" t="s">
        <v>141</v>
      </c>
      <c r="D1" s="2"/>
      <c r="F1" s="2"/>
      <c r="U1" s="1"/>
      <c r="V1" s="2"/>
      <c r="W1" s="1"/>
      <c r="X1" s="1"/>
    </row>
    <row r="2" spans="2:24" x14ac:dyDescent="0.25">
      <c r="G2" s="2"/>
      <c r="N2" s="3"/>
      <c r="O2" s="3"/>
      <c r="P2" s="3"/>
      <c r="Q2" s="3"/>
      <c r="R2" s="3"/>
      <c r="U2" s="1"/>
      <c r="V2" s="2"/>
      <c r="W2" s="1"/>
      <c r="X2" s="1"/>
    </row>
    <row r="3" spans="2:24" x14ac:dyDescent="0.25">
      <c r="B3" s="63" t="s">
        <v>73</v>
      </c>
      <c r="C3" s="1" t="s">
        <v>51</v>
      </c>
      <c r="D3" s="1" t="s">
        <v>50</v>
      </c>
      <c r="E3" s="1" t="s">
        <v>0</v>
      </c>
      <c r="F3" s="1" t="s">
        <v>1</v>
      </c>
      <c r="G3" s="1" t="s">
        <v>2</v>
      </c>
      <c r="H3" s="1" t="s">
        <v>3</v>
      </c>
      <c r="I3" s="1" t="s">
        <v>4</v>
      </c>
      <c r="K3" s="63" t="s">
        <v>74</v>
      </c>
      <c r="L3" s="1" t="s">
        <v>51</v>
      </c>
      <c r="M3" s="1" t="s">
        <v>50</v>
      </c>
      <c r="N3" s="1" t="s">
        <v>0</v>
      </c>
      <c r="O3" s="1" t="s">
        <v>1</v>
      </c>
      <c r="P3" s="1" t="s">
        <v>2</v>
      </c>
      <c r="Q3" s="1" t="s">
        <v>3</v>
      </c>
      <c r="R3" s="1" t="s">
        <v>4</v>
      </c>
    </row>
    <row r="4" spans="2:24" x14ac:dyDescent="0.25">
      <c r="B4" t="s">
        <v>86</v>
      </c>
      <c r="C4" s="88">
        <f>D4*C49</f>
        <v>5.2948473344000009</v>
      </c>
      <c r="D4" s="88">
        <f>E4*D49</f>
        <v>5.091199360000001</v>
      </c>
      <c r="E4" s="88">
        <f>F4*E49</f>
        <v>4.8953840000000008</v>
      </c>
      <c r="F4" s="88">
        <f>G4*F49</f>
        <v>4.7071000000000005</v>
      </c>
      <c r="G4" s="88">
        <v>4.57</v>
      </c>
      <c r="H4" s="88">
        <v>4.4400000000000004</v>
      </c>
      <c r="I4" s="89">
        <v>4.3099999999999996</v>
      </c>
      <c r="J4" s="4"/>
      <c r="K4" t="s">
        <v>5</v>
      </c>
      <c r="L4" s="2">
        <f>M4*L49</f>
        <v>5.5987199999999993</v>
      </c>
      <c r="M4" s="2">
        <f>N4*M49</f>
        <v>4.6655999999999995</v>
      </c>
      <c r="N4" s="2">
        <f>O4*N49</f>
        <v>3.8879999999999999</v>
      </c>
      <c r="O4" s="2">
        <f>P4*O49</f>
        <v>3.24</v>
      </c>
      <c r="P4" s="2">
        <v>2.7</v>
      </c>
      <c r="Q4" s="2">
        <v>2.62</v>
      </c>
      <c r="R4" s="2">
        <v>2.54</v>
      </c>
    </row>
    <row r="5" spans="2:24" x14ac:dyDescent="0.25">
      <c r="B5" t="s">
        <v>87</v>
      </c>
      <c r="C5" s="5">
        <f>82504+78136+73104+(233744/3)</f>
        <v>311658.66666666669</v>
      </c>
      <c r="D5" s="5">
        <f>82504+78136+73104+(233744/3)</f>
        <v>311658.66666666669</v>
      </c>
      <c r="E5" s="5">
        <f>82504+78136+73104+(233744/3)</f>
        <v>311658.66666666669</v>
      </c>
      <c r="F5" s="5">
        <f>82504+78136+73104+(233744/3)</f>
        <v>311658.66666666669</v>
      </c>
      <c r="G5" s="5">
        <f>82504+78136+73104+70750</f>
        <v>304494</v>
      </c>
      <c r="H5" s="5">
        <f>68645+82461+79385+80240</f>
        <v>310731</v>
      </c>
      <c r="I5" s="5">
        <f>69624+76447+78303+85743</f>
        <v>310117</v>
      </c>
      <c r="J5" s="6"/>
      <c r="K5" t="s">
        <v>6</v>
      </c>
      <c r="L5" s="5">
        <f>M5</f>
        <v>225574</v>
      </c>
      <c r="M5" s="5">
        <f>N5</f>
        <v>225574</v>
      </c>
      <c r="N5" s="5">
        <f>O5</f>
        <v>225574</v>
      </c>
      <c r="O5" s="5">
        <f>P5</f>
        <v>225574</v>
      </c>
      <c r="P5" s="5">
        <f>60521+56876+55074+53103</f>
        <v>225574</v>
      </c>
      <c r="Q5" s="5">
        <f>60051+58132+58136+51687</f>
        <v>228006</v>
      </c>
      <c r="R5" s="5">
        <f>63515+58867+58482+53401</f>
        <v>234265</v>
      </c>
    </row>
    <row r="6" spans="2:24" x14ac:dyDescent="0.25">
      <c r="B6" t="s">
        <v>88</v>
      </c>
      <c r="C6" s="82">
        <f t="shared" ref="C6:I6" si="0">C4*C5</f>
        <v>1650185.0604426586</v>
      </c>
      <c r="D6" s="82">
        <f t="shared" si="0"/>
        <v>1586716.404271787</v>
      </c>
      <c r="E6" s="82">
        <f t="shared" si="0"/>
        <v>1525688.8502613336</v>
      </c>
      <c r="F6" s="82">
        <f t="shared" si="0"/>
        <v>1467008.509866667</v>
      </c>
      <c r="G6" s="82">
        <f t="shared" si="0"/>
        <v>1391537.58</v>
      </c>
      <c r="H6" s="82">
        <f>H4*H5</f>
        <v>1379645.6400000001</v>
      </c>
      <c r="I6" s="82">
        <f t="shared" si="0"/>
        <v>1336604.2699999998</v>
      </c>
      <c r="K6" t="s">
        <v>7</v>
      </c>
      <c r="L6" s="1">
        <f t="shared" ref="L6:R6" si="1">L4*L5</f>
        <v>1262925.6652799998</v>
      </c>
      <c r="M6" s="1">
        <f t="shared" si="1"/>
        <v>1052438.0543999998</v>
      </c>
      <c r="N6" s="1">
        <f t="shared" si="1"/>
        <v>877031.71199999994</v>
      </c>
      <c r="O6" s="1">
        <f t="shared" si="1"/>
        <v>730859.76</v>
      </c>
      <c r="P6" s="1">
        <f t="shared" si="1"/>
        <v>609049.80000000005</v>
      </c>
      <c r="Q6" s="1">
        <f t="shared" si="1"/>
        <v>597375.72</v>
      </c>
      <c r="R6" s="1">
        <f t="shared" si="1"/>
        <v>595033.1</v>
      </c>
    </row>
    <row r="7" spans="2:24" x14ac:dyDescent="0.25">
      <c r="L7" s="1"/>
      <c r="M7" s="1"/>
    </row>
    <row r="8" spans="2:24" x14ac:dyDescent="0.25">
      <c r="G8" s="7"/>
      <c r="L8" s="3"/>
      <c r="M8" s="3"/>
      <c r="N8" s="3"/>
      <c r="O8" s="3"/>
      <c r="P8" s="3"/>
      <c r="Q8" s="3"/>
      <c r="R8" s="3"/>
    </row>
    <row r="9" spans="2:24" x14ac:dyDescent="0.25">
      <c r="B9" t="s">
        <v>89</v>
      </c>
      <c r="C9" s="88">
        <f>D9*C49</f>
        <v>69.493423001599993</v>
      </c>
      <c r="D9" s="88">
        <f>E9*D49</f>
        <v>66.820599039999991</v>
      </c>
      <c r="E9" s="88">
        <f>F9*E49</f>
        <v>64.250575999999995</v>
      </c>
      <c r="F9" s="88">
        <f>G9*F49</f>
        <v>61.779399999999995</v>
      </c>
      <c r="G9" s="88">
        <v>59.98</v>
      </c>
      <c r="H9" s="88">
        <v>58.23</v>
      </c>
      <c r="I9" s="89">
        <v>56.53</v>
      </c>
      <c r="J9" s="4"/>
      <c r="K9" t="s">
        <v>8</v>
      </c>
      <c r="L9" s="2">
        <f>M9*L48</f>
        <v>51.801337036800007</v>
      </c>
      <c r="M9" s="2">
        <f>N9*M48</f>
        <v>49.808977920000004</v>
      </c>
      <c r="N9" s="2">
        <f>O9*N48</f>
        <v>47.893248</v>
      </c>
      <c r="O9" s="2">
        <f>P9*O48</f>
        <v>46.051200000000001</v>
      </c>
      <c r="P9" s="2">
        <v>44.28</v>
      </c>
      <c r="Q9" s="2">
        <v>42.99</v>
      </c>
      <c r="R9" s="2">
        <v>41.74</v>
      </c>
    </row>
    <row r="10" spans="2:24" x14ac:dyDescent="0.25">
      <c r="B10" t="s">
        <v>87</v>
      </c>
      <c r="C10" s="5">
        <f>(4009+4021+4014)+(12044/3)</f>
        <v>16058.666666666666</v>
      </c>
      <c r="D10" s="5">
        <f>(4009+4021+4014)+(12044/3)</f>
        <v>16058.666666666666</v>
      </c>
      <c r="E10" s="5">
        <f>(4009+4021+4014)+(12044/3)</f>
        <v>16058.666666666666</v>
      </c>
      <c r="F10" s="5">
        <f>(4009+4021+4014)+(12044/3)</f>
        <v>16058.666666666666</v>
      </c>
      <c r="G10" s="5">
        <f>(4009+4021+4014)+(4014)</f>
        <v>16058</v>
      </c>
      <c r="H10" s="5">
        <f>3993+3993+4002+3979</f>
        <v>15967</v>
      </c>
      <c r="I10" s="5">
        <f>3971+3967+3977+3964</f>
        <v>15879</v>
      </c>
      <c r="J10" s="6"/>
      <c r="K10" t="s">
        <v>6</v>
      </c>
      <c r="L10" s="5">
        <f>M10</f>
        <v>11278</v>
      </c>
      <c r="M10" s="5">
        <f>N10</f>
        <v>11278</v>
      </c>
      <c r="N10" s="5">
        <f>O10</f>
        <v>11278</v>
      </c>
      <c r="O10" s="5">
        <f>P10</f>
        <v>11278</v>
      </c>
      <c r="P10" s="5">
        <f>2822+2824+2818+2814</f>
        <v>11278</v>
      </c>
      <c r="Q10" s="5">
        <f>2809+2820+2811+2809</f>
        <v>11249</v>
      </c>
      <c r="R10" s="5">
        <f>2804+2806+2801+2805</f>
        <v>11216</v>
      </c>
    </row>
    <row r="11" spans="2:24" x14ac:dyDescent="0.25">
      <c r="B11" t="s">
        <v>90</v>
      </c>
      <c r="C11" s="82">
        <f t="shared" ref="C11:I11" si="2">C9*C10</f>
        <v>1115971.7155083604</v>
      </c>
      <c r="D11" s="82">
        <f t="shared" si="2"/>
        <v>1073049.7264503464</v>
      </c>
      <c r="E11" s="82">
        <f t="shared" si="2"/>
        <v>1031778.5831253332</v>
      </c>
      <c r="F11" s="82">
        <f t="shared" si="2"/>
        <v>992094.7914666665</v>
      </c>
      <c r="G11" s="82">
        <f t="shared" si="2"/>
        <v>963158.84</v>
      </c>
      <c r="H11" s="82">
        <f t="shared" si="2"/>
        <v>929758.40999999992</v>
      </c>
      <c r="I11" s="82">
        <f t="shared" si="2"/>
        <v>897639.87</v>
      </c>
      <c r="K11" t="s">
        <v>9</v>
      </c>
      <c r="L11" s="1">
        <f t="shared" ref="L11:R11" si="3">L9*L10</f>
        <v>584215.47910103051</v>
      </c>
      <c r="M11" s="1">
        <f t="shared" si="3"/>
        <v>561745.6529817601</v>
      </c>
      <c r="N11" s="1">
        <f t="shared" si="3"/>
        <v>540140.05094400002</v>
      </c>
      <c r="O11" s="1">
        <f t="shared" si="3"/>
        <v>519365.43359999999</v>
      </c>
      <c r="P11" s="1">
        <f t="shared" si="3"/>
        <v>499389.84</v>
      </c>
      <c r="Q11" s="1">
        <f t="shared" si="3"/>
        <v>483594.51</v>
      </c>
      <c r="R11" s="1">
        <f t="shared" si="3"/>
        <v>468155.84</v>
      </c>
    </row>
    <row r="12" spans="2:24" x14ac:dyDescent="0.25">
      <c r="C12" s="73"/>
      <c r="D12" s="73"/>
      <c r="E12" s="73"/>
      <c r="F12" s="73"/>
      <c r="G12" s="73"/>
      <c r="H12" s="73"/>
      <c r="I12" s="73"/>
      <c r="L12" s="1"/>
      <c r="M12" s="1"/>
    </row>
    <row r="13" spans="2:24" x14ac:dyDescent="0.25">
      <c r="B13" t="s">
        <v>91</v>
      </c>
      <c r="C13" s="73">
        <f>AVERAGE(D13:E13)</f>
        <v>79507.63</v>
      </c>
      <c r="D13" s="73">
        <f>E13</f>
        <v>79507.63</v>
      </c>
      <c r="E13" s="73">
        <f>AVERAGE(F13:G13)</f>
        <v>79507.63</v>
      </c>
      <c r="F13" s="73">
        <f>G13</f>
        <v>79507.63</v>
      </c>
      <c r="G13" s="73">
        <f>17071.5+2076.1+901.67+17071.5+2076.1+761.93+17071.5+2076.1+674.94+17071.5+2076.1+578.69</f>
        <v>79507.63</v>
      </c>
      <c r="H13" s="73">
        <f>17021.5+2076.1+497.64+17021.5+2076.1+35.52+684.7+17103.5+2076.1+559.44+687.9+17053.5+2076.1+1294.49</f>
        <v>80264.090000000011</v>
      </c>
      <c r="I13" s="73">
        <f>17053.5+2076.1+299.41+17053.5+2076.1+520.02+17053.5+2076.1+945.48+17053.5+2076.1+20.37+1066.62</f>
        <v>79370.299999999988</v>
      </c>
      <c r="K13" t="s">
        <v>92</v>
      </c>
      <c r="L13" s="1">
        <f t="shared" ref="L13:O13" si="4">M13</f>
        <v>6209.1399999999994</v>
      </c>
      <c r="M13" s="1">
        <f t="shared" si="4"/>
        <v>6209.1399999999994</v>
      </c>
      <c r="N13" s="1">
        <f t="shared" si="4"/>
        <v>6209.1399999999994</v>
      </c>
      <c r="O13" s="1">
        <f t="shared" si="4"/>
        <v>6209.1399999999994</v>
      </c>
      <c r="P13" s="1">
        <f>800+400+311.43+800+400+350.83+800+400+54+355.69+800+400+54+283.19</f>
        <v>6209.1399999999994</v>
      </c>
      <c r="Q13" s="1">
        <f>800+400+52.4+283.54+800+400+52.4+326.4+800+400+236.67+800+400+410.99</f>
        <v>6162.4</v>
      </c>
      <c r="R13" s="1">
        <f>800+400+50.8+141.27+800+400+50.8+329.77+800+400+427.95+800+400+406.89</f>
        <v>6207.48</v>
      </c>
    </row>
    <row r="14" spans="2:24" x14ac:dyDescent="0.25">
      <c r="B14" t="s">
        <v>10</v>
      </c>
      <c r="C14" s="73">
        <f>D14</f>
        <v>119737.25280000002</v>
      </c>
      <c r="D14" s="73">
        <f>E14</f>
        <v>119737.25280000002</v>
      </c>
      <c r="E14" s="73">
        <f>F14</f>
        <v>119737.25280000002</v>
      </c>
      <c r="F14" s="73">
        <f>((23317.33+57300.62+4929.81+(1500*4.57))/4.57)*F4+F54*4</f>
        <v>119737.25280000002</v>
      </c>
      <c r="G14" s="73">
        <f>23317.33+5961.75+57300.62+5961.75+4929.81+5961.75+5961.75+818.58</f>
        <v>110213.34000000001</v>
      </c>
      <c r="H14" s="73">
        <f>6534.47+5788.11+16244.2+5788.11+35289.72+5788.11+6113.09+5788.11</f>
        <v>87333.92</v>
      </c>
      <c r="I14" s="73">
        <f>7714.33+5619.52+16125.77+5619.52+50122.98+5619.52+35667.97+5619.52</f>
        <v>132109.13</v>
      </c>
      <c r="K14" t="s">
        <v>10</v>
      </c>
      <c r="L14" s="6">
        <f>M14*(1+L60)</f>
        <v>1010423.1277177237</v>
      </c>
      <c r="M14" s="6">
        <f>N14*(1+M60)</f>
        <v>939928.49090020813</v>
      </c>
      <c r="N14" s="6">
        <f>O14*(1+N60)</f>
        <v>874352.08455833315</v>
      </c>
      <c r="O14" s="6">
        <f>P14*(1+O60)</f>
        <v>813350.77633333323</v>
      </c>
      <c r="P14" s="1">
        <f>362996.53+(362996.53/3)+273000-390</f>
        <v>756605.37333333329</v>
      </c>
      <c r="Q14" s="1">
        <f>180788.32+109486.59+163346.16+143948.86+159034.63</f>
        <v>756604.56</v>
      </c>
      <c r="R14" s="1">
        <f>146609.26+107057.15+189094.57+145793.26</f>
        <v>588554.23999999999</v>
      </c>
    </row>
    <row r="15" spans="2:24" x14ac:dyDescent="0.25">
      <c r="B15" t="s">
        <v>11</v>
      </c>
      <c r="C15" s="73">
        <v>0</v>
      </c>
      <c r="D15" s="73">
        <v>0</v>
      </c>
      <c r="E15" s="73">
        <v>0</v>
      </c>
      <c r="F15" s="73">
        <v>0</v>
      </c>
      <c r="G15" s="73">
        <v>0</v>
      </c>
      <c r="H15" s="73">
        <v>29882.53</v>
      </c>
      <c r="I15" s="73">
        <f>-4300+119.56</f>
        <v>-4180.4399999999996</v>
      </c>
      <c r="K15" t="s">
        <v>11</v>
      </c>
      <c r="L15" s="1"/>
      <c r="M15" s="1"/>
      <c r="P15" s="1">
        <v>0</v>
      </c>
      <c r="Q15" s="1">
        <f>5206.4+16.76</f>
        <v>5223.16</v>
      </c>
      <c r="R15" s="1">
        <f>9400+34336.98</f>
        <v>43736.98</v>
      </c>
    </row>
    <row r="16" spans="2:24" x14ac:dyDescent="0.25">
      <c r="B16" t="s">
        <v>93</v>
      </c>
      <c r="C16" s="76"/>
      <c r="D16" s="76">
        <v>0</v>
      </c>
      <c r="E16" s="76"/>
      <c r="F16" s="76">
        <v>0</v>
      </c>
      <c r="G16" s="76">
        <v>0</v>
      </c>
      <c r="H16" s="76">
        <v>-821.25</v>
      </c>
      <c r="I16" s="76">
        <v>319</v>
      </c>
      <c r="J16" s="6"/>
      <c r="K16" t="s">
        <v>93</v>
      </c>
      <c r="L16" s="5">
        <v>-156</v>
      </c>
      <c r="M16" s="5">
        <v>-156</v>
      </c>
      <c r="N16" s="5">
        <v>-156</v>
      </c>
      <c r="O16" s="5">
        <v>-152</v>
      </c>
      <c r="P16" s="5">
        <v>-147</v>
      </c>
      <c r="Q16" s="5">
        <v>-141.13</v>
      </c>
      <c r="R16" s="5">
        <v>149</v>
      </c>
    </row>
    <row r="17" spans="2:18" x14ac:dyDescent="0.25">
      <c r="B17" s="75" t="s">
        <v>94</v>
      </c>
      <c r="C17" s="74">
        <f t="shared" ref="C17:I17" si="5">SUM(C13:C15)+C11+C6+C16</f>
        <v>2965401.6587510193</v>
      </c>
      <c r="D17" s="74">
        <f t="shared" si="5"/>
        <v>2859011.0135221332</v>
      </c>
      <c r="E17" s="74">
        <f t="shared" si="5"/>
        <v>2756712.3161866665</v>
      </c>
      <c r="F17" s="74">
        <f t="shared" si="5"/>
        <v>2658348.1841333336</v>
      </c>
      <c r="G17" s="95">
        <f t="shared" si="5"/>
        <v>2544417.39</v>
      </c>
      <c r="H17" s="74">
        <f>SUM(H13:H15)+H11+H6+H16</f>
        <v>2506063.34</v>
      </c>
      <c r="I17" s="74">
        <f t="shared" si="5"/>
        <v>2441862.13</v>
      </c>
      <c r="L17" s="1">
        <f t="shared" ref="L17:R17" si="6">SUM(L13:L15)+L11+L6+L16</f>
        <v>2863617.4120987542</v>
      </c>
      <c r="M17" s="1">
        <f t="shared" si="6"/>
        <v>2560165.3382819681</v>
      </c>
      <c r="N17" s="1">
        <f t="shared" si="6"/>
        <v>2297576.9875023332</v>
      </c>
      <c r="O17" s="1">
        <f t="shared" si="6"/>
        <v>2069633.1099333332</v>
      </c>
      <c r="P17" s="1">
        <f t="shared" si="6"/>
        <v>1871107.1533333333</v>
      </c>
      <c r="Q17" s="1">
        <f t="shared" si="6"/>
        <v>1848819.2200000002</v>
      </c>
      <c r="R17" s="1">
        <f t="shared" si="6"/>
        <v>1701836.6400000001</v>
      </c>
    </row>
    <row r="18" spans="2:18" x14ac:dyDescent="0.25">
      <c r="L18" s="1"/>
      <c r="M18" s="1"/>
    </row>
    <row r="19" spans="2:18" x14ac:dyDescent="0.25">
      <c r="L19" s="1"/>
      <c r="M19" s="1"/>
    </row>
    <row r="20" spans="2:18" x14ac:dyDescent="0.25">
      <c r="L20" s="1"/>
      <c r="M20" s="1"/>
    </row>
    <row r="21" spans="2:18" x14ac:dyDescent="0.25">
      <c r="L21" s="1"/>
      <c r="M21" s="1"/>
    </row>
    <row r="22" spans="2:18" x14ac:dyDescent="0.25">
      <c r="L22" s="1"/>
      <c r="M22" s="1"/>
    </row>
    <row r="23" spans="2:18" x14ac:dyDescent="0.25">
      <c r="K23" t="s">
        <v>21</v>
      </c>
      <c r="L23" s="1">
        <f t="shared" ref="L23:Q23" si="7">(L57*L56)</f>
        <v>1262925.6652799998</v>
      </c>
      <c r="M23" s="1">
        <f t="shared" si="7"/>
        <v>1052438.0543999998</v>
      </c>
      <c r="N23" s="1">
        <f t="shared" si="7"/>
        <v>877031.71199999994</v>
      </c>
      <c r="O23" s="1">
        <f t="shared" si="7"/>
        <v>730859.76</v>
      </c>
      <c r="P23" s="1">
        <f t="shared" si="7"/>
        <v>609049.80000000005</v>
      </c>
      <c r="Q23" s="1">
        <f t="shared" si="7"/>
        <v>597375.72</v>
      </c>
    </row>
    <row r="24" spans="2:18" x14ac:dyDescent="0.25">
      <c r="B24" t="s">
        <v>116</v>
      </c>
      <c r="C24" s="82">
        <f t="shared" ref="C24:H24" si="8">(C58+C60)*C59</f>
        <v>1712314.1283838456</v>
      </c>
      <c r="D24" s="82">
        <f t="shared" si="8"/>
        <v>1646455.8926767746</v>
      </c>
      <c r="E24" s="82">
        <f t="shared" si="8"/>
        <v>1583130.6660353602</v>
      </c>
      <c r="F24" s="82">
        <f t="shared" si="8"/>
        <v>1522241.0250340002</v>
      </c>
      <c r="G24" s="92">
        <f t="shared" si="8"/>
        <v>1477903.9077999999</v>
      </c>
      <c r="H24" s="82">
        <f t="shared" si="8"/>
        <v>1443827.0832000002</v>
      </c>
      <c r="I24" s="82"/>
      <c r="K24" t="s">
        <v>22</v>
      </c>
      <c r="L24" s="1">
        <f>((L51*4)*L53)</f>
        <v>584215.47910103051</v>
      </c>
      <c r="M24" s="1">
        <f>((M51*4)*M53)</f>
        <v>561745.6529817601</v>
      </c>
      <c r="N24" s="1">
        <f>((N51*4)*N53)</f>
        <v>540140.05094400002</v>
      </c>
      <c r="O24" s="1">
        <f>((O51*4)*O53)</f>
        <v>519365.43359999999</v>
      </c>
      <c r="P24" s="1">
        <f>((P51*4)*P53)</f>
        <v>499389.84</v>
      </c>
      <c r="Q24" s="1">
        <f>(Q51*Q53)*4</f>
        <v>483594.51</v>
      </c>
    </row>
    <row r="25" spans="2:18" x14ac:dyDescent="0.25">
      <c r="B25" t="s">
        <v>117</v>
      </c>
      <c r="C25" s="82">
        <f t="shared" ref="C25:H25" si="9">((C51*4)*C53)+(C54*4)</f>
        <v>1143554.7573219326</v>
      </c>
      <c r="D25" s="82">
        <f t="shared" si="9"/>
        <v>1099571.8820403197</v>
      </c>
      <c r="E25" s="82">
        <f t="shared" si="9"/>
        <v>1057280.6558079999</v>
      </c>
      <c r="F25" s="82">
        <f t="shared" si="9"/>
        <v>1016616.0151999999</v>
      </c>
      <c r="G25" s="93">
        <f t="shared" si="9"/>
        <v>987005.84</v>
      </c>
      <c r="H25" s="82">
        <f t="shared" si="9"/>
        <v>952910.84999999986</v>
      </c>
      <c r="I25" s="82"/>
      <c r="K25" t="s">
        <v>31</v>
      </c>
      <c r="L25" s="1">
        <f>L14</f>
        <v>1010423.1277177237</v>
      </c>
      <c r="M25" s="1">
        <f>M14</f>
        <v>939928.49090020813</v>
      </c>
      <c r="N25" s="1">
        <f>N14</f>
        <v>874352.08455833315</v>
      </c>
      <c r="O25" s="1">
        <f>O14</f>
        <v>813350.77633333323</v>
      </c>
      <c r="P25" s="1">
        <f>P59</f>
        <v>756605.37333333329</v>
      </c>
      <c r="Q25" s="1">
        <f>Q59</f>
        <v>756604.56</v>
      </c>
      <c r="R25" s="1">
        <v>588554.23999999999</v>
      </c>
    </row>
    <row r="26" spans="2:18" x14ac:dyDescent="0.25">
      <c r="B26" t="s">
        <v>95</v>
      </c>
      <c r="C26" s="82">
        <f>D26</f>
        <v>79507.63</v>
      </c>
      <c r="D26" s="82">
        <f>E26</f>
        <v>79507.63</v>
      </c>
      <c r="E26" s="82">
        <f>F26</f>
        <v>79507.63</v>
      </c>
      <c r="F26" s="82">
        <f>G26</f>
        <v>79507.63</v>
      </c>
      <c r="G26" s="94">
        <f>G13+G15+G16</f>
        <v>79507.63</v>
      </c>
      <c r="H26" s="82">
        <f>H13+H15+H16</f>
        <v>109325.37000000001</v>
      </c>
      <c r="I26" s="82"/>
      <c r="K26" t="s">
        <v>96</v>
      </c>
      <c r="L26" s="1">
        <f t="shared" ref="L26:Q26" si="10">L16+L15+L13</f>
        <v>6053.1399999999994</v>
      </c>
      <c r="M26" s="1">
        <f>M16+M15+M13</f>
        <v>6053.1399999999994</v>
      </c>
      <c r="N26" s="1">
        <f t="shared" si="10"/>
        <v>6053.1399999999994</v>
      </c>
      <c r="O26" s="1">
        <f t="shared" si="10"/>
        <v>6057.1399999999994</v>
      </c>
      <c r="P26" s="1">
        <f>P16+P15+P13</f>
        <v>6062.1399999999994</v>
      </c>
      <c r="Q26" s="1">
        <f t="shared" si="10"/>
        <v>11244.43</v>
      </c>
    </row>
    <row r="27" spans="2:18" x14ac:dyDescent="0.25">
      <c r="B27" t="s">
        <v>43</v>
      </c>
      <c r="C27" s="82">
        <f t="shared" ref="C27:F28" si="11">AVERAGE(D27:E27)</f>
        <v>64750.93</v>
      </c>
      <c r="D27" s="82">
        <f t="shared" si="11"/>
        <v>65004.42</v>
      </c>
      <c r="E27" s="82">
        <f t="shared" si="11"/>
        <v>64497.440000000002</v>
      </c>
      <c r="F27" s="82">
        <f t="shared" si="11"/>
        <v>65511.4</v>
      </c>
      <c r="G27" s="82">
        <f>400+5541.75+42000+15541.73</f>
        <v>63483.479999999996</v>
      </c>
      <c r="H27" s="82">
        <f>462.5+7372.24+38000+21704.58</f>
        <v>67539.320000000007</v>
      </c>
      <c r="I27" s="82"/>
      <c r="K27" t="s">
        <v>47</v>
      </c>
      <c r="L27" s="1">
        <f>125+28536.13+8000</f>
        <v>36661.130000000005</v>
      </c>
      <c r="M27" s="1">
        <f>125+28536.13+8000</f>
        <v>36661.130000000005</v>
      </c>
      <c r="N27" s="1">
        <f>125+28536.13+8000</f>
        <v>36661.130000000005</v>
      </c>
      <c r="O27" s="1">
        <f>125+28536.13+8000</f>
        <v>36661.130000000005</v>
      </c>
      <c r="P27" s="1">
        <f>125+28536.13+8000</f>
        <v>36661.130000000005</v>
      </c>
      <c r="Q27" s="1">
        <f>50+59602.44+2000+172.18</f>
        <v>61824.62</v>
      </c>
    </row>
    <row r="28" spans="2:18" x14ac:dyDescent="0.25">
      <c r="B28" t="s">
        <v>46</v>
      </c>
      <c r="C28" s="82">
        <f t="shared" si="11"/>
        <v>32642.812500000004</v>
      </c>
      <c r="D28" s="82">
        <f t="shared" si="11"/>
        <v>32830.895000000004</v>
      </c>
      <c r="E28" s="82">
        <f t="shared" si="11"/>
        <v>32454.730000000003</v>
      </c>
      <c r="F28" s="82">
        <f t="shared" si="11"/>
        <v>33207.060000000005</v>
      </c>
      <c r="G28" s="82">
        <f>338.11+110.97+30492.33+335.99+425</f>
        <v>31702.400000000005</v>
      </c>
      <c r="H28" s="78">
        <f>34276.46+370.25+65.01</f>
        <v>34711.72</v>
      </c>
      <c r="I28" s="82"/>
      <c r="K28" t="s">
        <v>46</v>
      </c>
      <c r="L28" s="1">
        <v>15216.52</v>
      </c>
      <c r="M28" s="1">
        <v>15216.52</v>
      </c>
      <c r="N28" s="1">
        <v>15216.52</v>
      </c>
      <c r="O28" s="1">
        <v>15216.52</v>
      </c>
      <c r="P28" s="1">
        <v>15216.52</v>
      </c>
      <c r="Q28" s="1">
        <f>622.53+327.66+45.82+13537.07+3.56+12.1</f>
        <v>14548.74</v>
      </c>
    </row>
    <row r="29" spans="2:18" x14ac:dyDescent="0.25">
      <c r="B29" t="s">
        <v>45</v>
      </c>
      <c r="C29" s="79"/>
      <c r="D29" s="79"/>
      <c r="E29" s="79"/>
      <c r="F29" s="79"/>
      <c r="G29" s="80">
        <f>11864.05+132553.15+18549.49+213991.6+5395.92+41463.47+443.55</f>
        <v>424261.22999999992</v>
      </c>
      <c r="H29" s="79">
        <f>37204.68</f>
        <v>37204.68</v>
      </c>
      <c r="I29" s="79"/>
      <c r="K29" t="s">
        <v>49</v>
      </c>
      <c r="L29" s="5"/>
      <c r="M29" s="5"/>
      <c r="N29" s="5"/>
      <c r="O29" s="5"/>
      <c r="P29" s="5">
        <v>-14640.72</v>
      </c>
      <c r="Q29" s="5">
        <v>376410.57</v>
      </c>
      <c r="R29" s="5"/>
    </row>
    <row r="30" spans="2:18" x14ac:dyDescent="0.25">
      <c r="B30" t="s">
        <v>118</v>
      </c>
      <c r="C30" s="82">
        <f t="shared" ref="C30:H30" si="12">SUM(C24:C29)</f>
        <v>3032770.2582057784</v>
      </c>
      <c r="D30" s="82">
        <f t="shared" si="12"/>
        <v>2923370.7197170942</v>
      </c>
      <c r="E30" s="82">
        <f t="shared" si="12"/>
        <v>2816871.1218433599</v>
      </c>
      <c r="F30" s="91">
        <f t="shared" si="12"/>
        <v>2717083.1302339998</v>
      </c>
      <c r="G30" s="91">
        <f t="shared" si="12"/>
        <v>3063864.4877999998</v>
      </c>
      <c r="H30" s="82">
        <f t="shared" si="12"/>
        <v>2645519.0232000002</v>
      </c>
      <c r="I30" s="82">
        <v>2625168</v>
      </c>
      <c r="L30" s="1">
        <f t="shared" ref="L30:Q30" si="13">SUM(L23:L29)</f>
        <v>2915495.0620987541</v>
      </c>
      <c r="M30" s="1">
        <f t="shared" si="13"/>
        <v>2612042.988281968</v>
      </c>
      <c r="N30" s="1">
        <f t="shared" si="13"/>
        <v>2349454.6375023331</v>
      </c>
      <c r="O30" s="1">
        <f t="shared" si="13"/>
        <v>2121510.7599333329</v>
      </c>
      <c r="P30" s="1">
        <f t="shared" si="13"/>
        <v>1908344.0833333333</v>
      </c>
      <c r="Q30" s="1">
        <f t="shared" si="13"/>
        <v>2301603.15</v>
      </c>
      <c r="R30" s="1">
        <f>2010538+1025</f>
        <v>2011563</v>
      </c>
    </row>
    <row r="31" spans="2:18" x14ac:dyDescent="0.25">
      <c r="B31" t="s">
        <v>119</v>
      </c>
      <c r="C31" s="3">
        <f t="shared" ref="C31:H31" si="14">(C30-D30)/D30</f>
        <v>3.7422396602258927E-2</v>
      </c>
      <c r="D31" s="3">
        <f t="shared" si="14"/>
        <v>3.7807763744633439E-2</v>
      </c>
      <c r="E31" s="3">
        <f t="shared" si="14"/>
        <v>3.672614595371846E-2</v>
      </c>
      <c r="F31" s="90">
        <f t="shared" si="14"/>
        <v>-0.11318430007164104</v>
      </c>
      <c r="G31" s="90">
        <f t="shared" si="14"/>
        <v>0.15813360665007506</v>
      </c>
      <c r="H31" s="3">
        <f t="shared" si="14"/>
        <v>7.7522745972829817E-3</v>
      </c>
      <c r="L31" s="20">
        <f t="shared" ref="L31:Q31" si="15">(L30-M30)/M30</f>
        <v>0.11617422652617869</v>
      </c>
      <c r="M31" s="20">
        <f t="shared" si="15"/>
        <v>0.11176566109775513</v>
      </c>
      <c r="N31" s="20">
        <f t="shared" si="15"/>
        <v>0.10744412985025974</v>
      </c>
      <c r="O31" s="20">
        <f t="shared" si="15"/>
        <v>0.11170243273302068</v>
      </c>
      <c r="P31" s="20">
        <f t="shared" si="15"/>
        <v>-0.17086310759813944</v>
      </c>
      <c r="Q31" s="20">
        <f t="shared" si="15"/>
        <v>0.14418646097586799</v>
      </c>
    </row>
    <row r="32" spans="2:18" x14ac:dyDescent="0.25">
      <c r="C32" s="3"/>
      <c r="D32" s="3"/>
      <c r="E32" s="3"/>
      <c r="F32" s="3"/>
      <c r="G32" s="3"/>
      <c r="H32" s="3"/>
      <c r="L32" s="20"/>
      <c r="M32" s="20"/>
      <c r="N32" s="20"/>
      <c r="O32" s="20"/>
      <c r="P32" s="20"/>
      <c r="Q32" s="20"/>
    </row>
    <row r="33" spans="1:20" x14ac:dyDescent="0.25">
      <c r="B33" t="s">
        <v>121</v>
      </c>
      <c r="C33" s="82">
        <f>D33*1.05</f>
        <v>2586092.1112923753</v>
      </c>
      <c r="D33" s="82">
        <f>(E33*1.05)</f>
        <v>2462944.8678975003</v>
      </c>
      <c r="E33" s="82">
        <f>F33*1.05</f>
        <v>2345661.7789500002</v>
      </c>
      <c r="F33" s="82">
        <f>(G33*1.05)</f>
        <v>2233963.5989999999</v>
      </c>
      <c r="G33" s="82">
        <f>916712.34+929156.14-166608.95-17249.63+465574.48</f>
        <v>2127584.38</v>
      </c>
      <c r="H33" s="82">
        <v>1956759</v>
      </c>
      <c r="I33" s="82">
        <f>1873493+2000+17864-14888-14613</f>
        <v>1863856</v>
      </c>
      <c r="K33" t="s">
        <v>12</v>
      </c>
      <c r="L33" s="7">
        <f>M33*1.05</f>
        <v>2575189.7981538754</v>
      </c>
      <c r="M33" s="7">
        <f>N33*1.05</f>
        <v>2452561.7125275005</v>
      </c>
      <c r="N33" s="7">
        <f>O33*1.05</f>
        <v>2335773.0595500004</v>
      </c>
      <c r="O33" s="7">
        <f>P33*1.05</f>
        <v>2224545.7710000002</v>
      </c>
      <c r="P33" s="7">
        <f>1802753.41-31737.69-16835.34+364434.64</f>
        <v>2118615.02</v>
      </c>
      <c r="Q33" s="1">
        <v>1997013.52</v>
      </c>
      <c r="R33" s="1">
        <f>2128357+400-107842</f>
        <v>2020915</v>
      </c>
    </row>
    <row r="34" spans="1:20" x14ac:dyDescent="0.25">
      <c r="B34" t="s">
        <v>120</v>
      </c>
      <c r="C34" s="8">
        <f t="shared" ref="C34:H34" si="16">(C33-D33)/D33</f>
        <v>4.9999999999999982E-2</v>
      </c>
      <c r="D34" s="8">
        <f t="shared" si="16"/>
        <v>5.0000000000000037E-2</v>
      </c>
      <c r="E34" s="8">
        <f t="shared" si="16"/>
        <v>5.0000000000000114E-2</v>
      </c>
      <c r="F34" s="8">
        <v>0.05</v>
      </c>
      <c r="G34" s="8">
        <f t="shared" si="16"/>
        <v>8.7300163177989665E-2</v>
      </c>
      <c r="H34" s="8">
        <f t="shared" si="16"/>
        <v>4.9844515885347364E-2</v>
      </c>
      <c r="L34" s="21">
        <f t="shared" ref="L34:Q34" si="17">(L33-M33)/M33</f>
        <v>4.9999999999999961E-2</v>
      </c>
      <c r="M34" s="21">
        <f t="shared" si="17"/>
        <v>5.0000000000000037E-2</v>
      </c>
      <c r="N34" s="21">
        <f t="shared" si="17"/>
        <v>5.0000000000000072E-2</v>
      </c>
      <c r="O34" s="21">
        <f t="shared" si="17"/>
        <v>5.0000000000000079E-2</v>
      </c>
      <c r="P34" s="21">
        <f t="shared" si="17"/>
        <v>6.0891675886100158E-2</v>
      </c>
      <c r="Q34" s="21">
        <f t="shared" si="17"/>
        <v>-1.1827058535366397E-2</v>
      </c>
    </row>
    <row r="35" spans="1:20" x14ac:dyDescent="0.25">
      <c r="C35" s="8"/>
      <c r="D35" s="8"/>
      <c r="E35" s="8"/>
      <c r="F35" s="8"/>
      <c r="G35" s="8"/>
      <c r="H35" s="8"/>
      <c r="L35" s="21"/>
      <c r="M35" s="21"/>
      <c r="N35" s="21"/>
      <c r="O35" s="21"/>
      <c r="P35" s="21"/>
      <c r="Q35" s="21"/>
    </row>
    <row r="36" spans="1:20" x14ac:dyDescent="0.25">
      <c r="B36" t="s">
        <v>16</v>
      </c>
      <c r="C36" s="82">
        <v>175578.38</v>
      </c>
      <c r="D36" s="82">
        <v>187508.95</v>
      </c>
      <c r="E36" s="82">
        <v>199018.46</v>
      </c>
      <c r="F36" s="82">
        <v>210102.01</v>
      </c>
      <c r="G36" s="82">
        <v>219489.12</v>
      </c>
      <c r="H36" s="82">
        <v>206215</v>
      </c>
      <c r="I36" s="82">
        <v>222419</v>
      </c>
      <c r="K36" t="s">
        <v>16</v>
      </c>
      <c r="L36" s="1">
        <v>38607.230000000003</v>
      </c>
      <c r="M36" s="1">
        <v>44027.43</v>
      </c>
      <c r="N36" s="1">
        <v>49267.02</v>
      </c>
      <c r="O36" s="1">
        <v>54280.61</v>
      </c>
      <c r="P36" s="1">
        <v>52067.56</v>
      </c>
      <c r="Q36" s="1">
        <v>54869.98</v>
      </c>
      <c r="R36" s="1">
        <v>53820</v>
      </c>
    </row>
    <row r="37" spans="1:20" x14ac:dyDescent="0.25">
      <c r="B37" t="s">
        <v>19</v>
      </c>
      <c r="C37" s="79">
        <f>(32589.62+32006.28)*0.504</f>
        <v>32556.333599999998</v>
      </c>
      <c r="D37" s="79">
        <f>(33156.28+32589.62)*0.504</f>
        <v>33135.933599999997</v>
      </c>
      <c r="E37" s="79">
        <f>(33718.78+33156.28)*0.504</f>
        <v>33705.03024</v>
      </c>
      <c r="F37" s="79">
        <f>(22666.51+33718.78)*0.504</f>
        <v>28418.186159999997</v>
      </c>
      <c r="G37" s="79">
        <v>0</v>
      </c>
      <c r="H37" s="79">
        <v>0</v>
      </c>
      <c r="I37" s="79"/>
      <c r="K37" t="s">
        <v>19</v>
      </c>
      <c r="L37" s="6">
        <f>(32589.62+32006.28)*0.4493</f>
        <v>29022.937869999994</v>
      </c>
      <c r="M37" s="6">
        <f>(33156.28+32589.62)*0.4493</f>
        <v>29539.632869999998</v>
      </c>
      <c r="N37" s="6">
        <f>(33718.78+33156.28)*0.4493</f>
        <v>30046.964457999999</v>
      </c>
      <c r="O37" s="6">
        <f>(22666.51+33718.78)*0.4493</f>
        <v>25333.910796999997</v>
      </c>
      <c r="P37" s="1">
        <v>0</v>
      </c>
      <c r="Q37" s="1">
        <v>0</v>
      </c>
    </row>
    <row r="38" spans="1:20" ht="15.75" thickBot="1" x14ac:dyDescent="0.3">
      <c r="B38" t="s">
        <v>122</v>
      </c>
      <c r="C38" s="82">
        <f>C24+C25+C26+C27-C33+C29-C36+C28-C37</f>
        <v>238543.43331340316</v>
      </c>
      <c r="D38" s="82">
        <f>D24+D25+D26+D27-D33+D29-D36+D28-D37</f>
        <v>239780.96821959392</v>
      </c>
      <c r="E38" s="82">
        <f>E24+E25+E26+E27-E33+E29-E36+E28-E37</f>
        <v>238485.85265335976</v>
      </c>
      <c r="F38" s="82">
        <f>F24+F25+F26+F27-F33+F29-F36+F28-F37</f>
        <v>244599.33507399983</v>
      </c>
      <c r="G38" s="82">
        <f>G24+G25+G26+G27-G33+G29-G36+G28</f>
        <v>716790.9878</v>
      </c>
      <c r="H38" s="82">
        <f>H24+H25+H26+H27-H33+H29-H36+H28</f>
        <v>482545.02319999982</v>
      </c>
      <c r="I38" s="82">
        <f>-I33+I30-I36</f>
        <v>538893</v>
      </c>
      <c r="K38" t="s">
        <v>23</v>
      </c>
      <c r="L38" s="6">
        <f>10342.13+10027.13</f>
        <v>20369.259999999998</v>
      </c>
      <c r="M38" s="6">
        <f>10648.13+10342.13</f>
        <v>20990.26</v>
      </c>
      <c r="N38" s="6">
        <f>10951.88+10648.13</f>
        <v>21600.01</v>
      </c>
      <c r="O38" s="6">
        <f>7362.09+10951.88</f>
        <v>18313.97</v>
      </c>
      <c r="P38" s="6"/>
      <c r="Q38" s="6"/>
      <c r="R38" s="6"/>
    </row>
    <row r="39" spans="1:20" ht="15.75" thickBot="1" x14ac:dyDescent="0.3">
      <c r="C39" s="82"/>
      <c r="D39" s="82"/>
      <c r="E39" s="82"/>
      <c r="F39" s="82"/>
      <c r="G39" s="82"/>
      <c r="H39" s="82"/>
      <c r="I39" s="82"/>
      <c r="K39" s="96" t="s">
        <v>17</v>
      </c>
      <c r="L39" s="97">
        <f t="shared" ref="L39:Q39" si="18">L30-L33-L36-L37-L38</f>
        <v>252305.83607487869</v>
      </c>
      <c r="M39" s="97">
        <f t="shared" si="18"/>
        <v>64923.952884467595</v>
      </c>
      <c r="N39" s="97">
        <f t="shared" si="18"/>
        <v>-87232.416505667192</v>
      </c>
      <c r="O39" s="97">
        <f t="shared" si="18"/>
        <v>-200963.50186366725</v>
      </c>
      <c r="P39" s="97">
        <f t="shared" si="18"/>
        <v>-262338.49666666676</v>
      </c>
      <c r="Q39" s="97">
        <f t="shared" si="18"/>
        <v>249719.64999999988</v>
      </c>
      <c r="R39" s="98"/>
    </row>
    <row r="40" spans="1:20" x14ac:dyDescent="0.25">
      <c r="B40" t="s">
        <v>18</v>
      </c>
      <c r="C40" s="82">
        <v>367464.1</v>
      </c>
      <c r="D40" s="82">
        <v>357086.05</v>
      </c>
      <c r="E40" s="82">
        <v>346275.8</v>
      </c>
      <c r="F40" s="82">
        <v>335852.92</v>
      </c>
      <c r="G40" s="82">
        <v>361612.71</v>
      </c>
      <c r="H40" s="82">
        <v>353281</v>
      </c>
      <c r="I40" s="82">
        <v>428003</v>
      </c>
    </row>
    <row r="41" spans="1:20" x14ac:dyDescent="0.25">
      <c r="B41" t="s">
        <v>20</v>
      </c>
      <c r="C41" s="82">
        <f>83333*0.504</f>
        <v>41999.832000000002</v>
      </c>
      <c r="D41" s="82">
        <f>83333*0.504</f>
        <v>41999.832000000002</v>
      </c>
      <c r="E41" s="82">
        <f>83333*0.504</f>
        <v>41999.832000000002</v>
      </c>
      <c r="F41" s="82">
        <v>0</v>
      </c>
      <c r="G41" s="82">
        <v>0</v>
      </c>
      <c r="H41" s="82">
        <v>0</v>
      </c>
      <c r="I41" s="82"/>
      <c r="K41" t="s">
        <v>18</v>
      </c>
      <c r="L41" s="1">
        <v>144548.70000000001</v>
      </c>
      <c r="M41" s="1">
        <v>142575.03</v>
      </c>
      <c r="N41" s="1">
        <v>138726.29999999999</v>
      </c>
      <c r="O41" s="1">
        <v>135019.87</v>
      </c>
      <c r="P41" s="1">
        <v>131450.39000000001</v>
      </c>
      <c r="Q41" s="1">
        <f>8410.03+83191.31+36411.43</f>
        <v>128012.76999999999</v>
      </c>
    </row>
    <row r="42" spans="1:20" x14ac:dyDescent="0.25">
      <c r="B42" t="s">
        <v>34</v>
      </c>
      <c r="C42" s="82">
        <v>0</v>
      </c>
      <c r="D42" s="82">
        <v>0</v>
      </c>
      <c r="E42" s="82">
        <f>20530.31/2+(80000/2)</f>
        <v>50265.154999999999</v>
      </c>
      <c r="F42" s="82">
        <f>20530.31/2+(80000/2)</f>
        <v>50265.154999999999</v>
      </c>
      <c r="G42" s="82">
        <v>381757.4</v>
      </c>
      <c r="H42" s="82"/>
      <c r="I42" s="82"/>
      <c r="K42" t="s">
        <v>20</v>
      </c>
      <c r="L42" s="1">
        <f>83333*0.4493</f>
        <v>37441.516899999995</v>
      </c>
      <c r="M42" s="1">
        <f>83333*0.4493</f>
        <v>37441.516899999995</v>
      </c>
      <c r="N42" s="1">
        <f>83333*0.4493</f>
        <v>37441.516899999995</v>
      </c>
      <c r="O42" s="1">
        <v>0</v>
      </c>
      <c r="P42" s="1">
        <v>0</v>
      </c>
    </row>
    <row r="43" spans="1:20" x14ac:dyDescent="0.25">
      <c r="C43" s="77"/>
      <c r="D43" s="77"/>
      <c r="E43" s="77"/>
      <c r="F43" s="77"/>
      <c r="G43" s="77"/>
      <c r="H43" s="77"/>
      <c r="I43" s="77"/>
      <c r="K43" t="s">
        <v>33</v>
      </c>
      <c r="L43" s="1">
        <v>332064</v>
      </c>
      <c r="M43" s="1">
        <v>332064</v>
      </c>
      <c r="N43" s="1">
        <f>332000-E42</f>
        <v>281734.84499999997</v>
      </c>
      <c r="O43" s="1">
        <f>250000-F42</f>
        <v>199734.845</v>
      </c>
      <c r="P43" s="1">
        <v>0</v>
      </c>
      <c r="S43" s="1">
        <f>332000+332128.37</f>
        <v>664128.37</v>
      </c>
      <c r="T43" s="22">
        <f>SUM(E40:R40)</f>
        <v>1825025.43</v>
      </c>
    </row>
    <row r="44" spans="1:20" x14ac:dyDescent="0.25">
      <c r="K44" t="s">
        <v>24</v>
      </c>
      <c r="L44" s="1">
        <v>45000</v>
      </c>
      <c r="M44" s="1">
        <v>45000</v>
      </c>
      <c r="N44" s="1">
        <v>45000</v>
      </c>
      <c r="O44" s="1">
        <v>0</v>
      </c>
    </row>
    <row r="45" spans="1:20" x14ac:dyDescent="0.25">
      <c r="A45" s="67"/>
      <c r="L45" s="9"/>
      <c r="M45" s="9"/>
      <c r="N45" s="9"/>
      <c r="O45" s="9"/>
      <c r="P45" s="9"/>
      <c r="Q45" s="9"/>
      <c r="R45" s="9"/>
    </row>
    <row r="46" spans="1:20" x14ac:dyDescent="0.25">
      <c r="A46" s="68"/>
      <c r="B46" s="99" t="str">
        <f>+B1</f>
        <v>DM 8/12/19 council proposed FY20 rates (SEM 8/09/19) (DM 8/5/19)</v>
      </c>
      <c r="C46" s="69" t="s">
        <v>73</v>
      </c>
      <c r="D46" s="69"/>
      <c r="E46" s="69"/>
      <c r="F46" s="69"/>
      <c r="G46" s="69"/>
      <c r="H46" s="69"/>
      <c r="I46" s="69"/>
      <c r="L46" s="71" t="s">
        <v>74</v>
      </c>
      <c r="M46" s="71"/>
      <c r="N46" s="71"/>
      <c r="O46" s="71"/>
      <c r="P46" s="71"/>
      <c r="Q46" s="71"/>
      <c r="R46" s="71"/>
    </row>
    <row r="47" spans="1:20" x14ac:dyDescent="0.25">
      <c r="A47" s="68"/>
      <c r="B47" s="70"/>
      <c r="C47" s="69" t="str">
        <f>+C3</f>
        <v>FY23</v>
      </c>
      <c r="D47" s="69" t="str">
        <f t="shared" ref="D47:I47" si="19">+D3</f>
        <v>FY22</v>
      </c>
      <c r="E47" s="69" t="str">
        <f t="shared" si="19"/>
        <v>FY21</v>
      </c>
      <c r="F47" s="69" t="str">
        <f t="shared" si="19"/>
        <v>FY20</v>
      </c>
      <c r="G47" s="69" t="str">
        <f t="shared" si="19"/>
        <v>FY19</v>
      </c>
      <c r="H47" s="69" t="str">
        <f t="shared" si="19"/>
        <v>FY18</v>
      </c>
      <c r="I47" s="69" t="str">
        <f t="shared" si="19"/>
        <v>FY17</v>
      </c>
      <c r="L47" s="72" t="str">
        <f>+L3</f>
        <v>FY23</v>
      </c>
      <c r="M47" s="72" t="str">
        <f t="shared" ref="M47:R47" si="20">+M3</f>
        <v>FY22</v>
      </c>
      <c r="N47" s="72" t="str">
        <f t="shared" si="20"/>
        <v>FY21</v>
      </c>
      <c r="O47" s="72" t="str">
        <f t="shared" si="20"/>
        <v>FY20</v>
      </c>
      <c r="P47" s="72" t="str">
        <f t="shared" si="20"/>
        <v>FY19</v>
      </c>
      <c r="Q47" s="72" t="str">
        <f t="shared" si="20"/>
        <v>FY18</v>
      </c>
      <c r="R47" s="72" t="str">
        <f t="shared" si="20"/>
        <v>FY17</v>
      </c>
    </row>
    <row r="48" spans="1:20" x14ac:dyDescent="0.25">
      <c r="B48" s="10" t="s">
        <v>105</v>
      </c>
      <c r="C48" s="61">
        <v>1.04</v>
      </c>
      <c r="D48" s="61">
        <v>1.04</v>
      </c>
      <c r="E48" s="61">
        <v>1.04</v>
      </c>
      <c r="F48" s="61">
        <v>1.03</v>
      </c>
      <c r="G48" s="11"/>
      <c r="H48" s="12"/>
      <c r="I48" s="13"/>
      <c r="K48" s="27" t="s">
        <v>29</v>
      </c>
      <c r="L48" s="61">
        <v>1.04</v>
      </c>
      <c r="M48" s="61">
        <v>1.04</v>
      </c>
      <c r="N48" s="61">
        <v>1.04</v>
      </c>
      <c r="O48" s="61">
        <v>1.04</v>
      </c>
      <c r="P48" s="28"/>
      <c r="Q48" s="29"/>
      <c r="R48" s="13"/>
    </row>
    <row r="49" spans="2:20" x14ac:dyDescent="0.25">
      <c r="B49" s="14" t="s">
        <v>106</v>
      </c>
      <c r="C49" s="62">
        <v>1.04</v>
      </c>
      <c r="D49" s="62">
        <v>1.04</v>
      </c>
      <c r="E49" s="62">
        <v>1.04</v>
      </c>
      <c r="F49" s="62">
        <v>1.03</v>
      </c>
      <c r="G49" s="43"/>
      <c r="H49" s="6"/>
      <c r="I49" s="16"/>
      <c r="K49" s="30" t="s">
        <v>30</v>
      </c>
      <c r="L49" s="62">
        <v>1.2</v>
      </c>
      <c r="M49" s="62">
        <v>1.2</v>
      </c>
      <c r="N49" s="62">
        <v>1.2</v>
      </c>
      <c r="O49" s="62">
        <v>1.2</v>
      </c>
      <c r="P49" s="24"/>
      <c r="Q49" s="24"/>
      <c r="R49" s="16"/>
    </row>
    <row r="50" spans="2:20" x14ac:dyDescent="0.25">
      <c r="B50" s="14"/>
      <c r="C50" s="6"/>
      <c r="D50" s="6"/>
      <c r="E50" s="6"/>
      <c r="F50" s="6"/>
      <c r="G50" s="43"/>
      <c r="H50" s="6"/>
      <c r="I50" s="16"/>
      <c r="K50" s="30"/>
      <c r="L50" s="24"/>
      <c r="M50" s="24"/>
      <c r="N50" s="24"/>
      <c r="O50" s="24"/>
      <c r="P50" s="24"/>
      <c r="Q50" s="24"/>
      <c r="R50" s="16"/>
    </row>
    <row r="51" spans="2:20" x14ac:dyDescent="0.25">
      <c r="B51" s="14" t="s">
        <v>13</v>
      </c>
      <c r="C51" s="6">
        <f>D51</f>
        <v>4014.5</v>
      </c>
      <c r="D51" s="6">
        <f>E51</f>
        <v>4014.5</v>
      </c>
      <c r="E51" s="6">
        <f>F51</f>
        <v>4014.5</v>
      </c>
      <c r="F51" s="6">
        <f>G51</f>
        <v>4014.5</v>
      </c>
      <c r="G51" s="6">
        <f>(4009+4021+4014+4014)/4</f>
        <v>4014.5</v>
      </c>
      <c r="H51" s="6">
        <f>(3979+4002+3993+3993)/4</f>
        <v>3991.75</v>
      </c>
      <c r="I51" s="16">
        <f>(3971+3967+3977+3964)/4</f>
        <v>3969.75</v>
      </c>
      <c r="K51" s="30" t="s">
        <v>13</v>
      </c>
      <c r="L51" s="24">
        <f>M51</f>
        <v>2819.5</v>
      </c>
      <c r="M51" s="24">
        <f>N51</f>
        <v>2819.5</v>
      </c>
      <c r="N51" s="24">
        <f>O51</f>
        <v>2819.5</v>
      </c>
      <c r="O51" s="24">
        <f>P51</f>
        <v>2819.5</v>
      </c>
      <c r="P51" s="24">
        <f>(2822+2824+2818+2814)/4</f>
        <v>2819.5</v>
      </c>
      <c r="Q51" s="24">
        <f>(2809+2820+2811+2809)/4</f>
        <v>2812.25</v>
      </c>
      <c r="R51" s="16">
        <f>(2804+2806+2801+2805)/4</f>
        <v>2804</v>
      </c>
      <c r="T51" s="9"/>
    </row>
    <row r="52" spans="2:20" x14ac:dyDescent="0.25">
      <c r="B52" s="14"/>
      <c r="C52" s="6"/>
      <c r="D52" s="43"/>
      <c r="E52" s="6"/>
      <c r="F52" s="43"/>
      <c r="G52" s="6"/>
      <c r="H52" s="6"/>
      <c r="I52" s="16"/>
      <c r="K52" s="30"/>
      <c r="L52" s="46"/>
      <c r="M52" s="46"/>
      <c r="N52" s="46"/>
      <c r="O52" s="24"/>
      <c r="P52" s="24"/>
      <c r="Q52" s="24"/>
      <c r="R52" s="16"/>
      <c r="T52" s="23"/>
    </row>
    <row r="53" spans="2:20" x14ac:dyDescent="0.25">
      <c r="B53" s="14" t="s">
        <v>108</v>
      </c>
      <c r="C53" s="87">
        <f>D53*C48</f>
        <v>69.493423001599993</v>
      </c>
      <c r="D53" s="87">
        <f>E53*D48</f>
        <v>66.820599039999991</v>
      </c>
      <c r="E53" s="87">
        <f>F53*E48</f>
        <v>64.250575999999995</v>
      </c>
      <c r="F53" s="87">
        <f>G53*F48</f>
        <v>61.779399999999995</v>
      </c>
      <c r="G53" s="87">
        <v>59.98</v>
      </c>
      <c r="H53" s="87">
        <v>58.23</v>
      </c>
      <c r="I53" s="16"/>
      <c r="K53" s="30" t="s">
        <v>15</v>
      </c>
      <c r="L53" s="26">
        <f>M53*L48</f>
        <v>51.801337036800007</v>
      </c>
      <c r="M53" s="26">
        <f>N53*M48</f>
        <v>49.808977920000004</v>
      </c>
      <c r="N53" s="26">
        <f>O53*N48</f>
        <v>47.893248</v>
      </c>
      <c r="O53" s="26">
        <f>P53*O48</f>
        <v>46.051200000000001</v>
      </c>
      <c r="P53" s="26">
        <v>44.28</v>
      </c>
      <c r="Q53" s="26">
        <v>42.99</v>
      </c>
      <c r="R53" s="16"/>
      <c r="T53" s="22"/>
    </row>
    <row r="54" spans="2:20" x14ac:dyDescent="0.25">
      <c r="B54" s="83" t="s">
        <v>109</v>
      </c>
      <c r="C54" s="78">
        <f>D54*C48</f>
        <v>6907.3426905600008</v>
      </c>
      <c r="D54" s="78">
        <f>E54*D48</f>
        <v>6641.6756640000003</v>
      </c>
      <c r="E54" s="78">
        <f>F54*E48</f>
        <v>6386.2266</v>
      </c>
      <c r="F54" s="78">
        <f>G54*F48</f>
        <v>6140.6025</v>
      </c>
      <c r="G54" s="78">
        <v>5961.75</v>
      </c>
      <c r="H54" s="78">
        <v>5788.11</v>
      </c>
      <c r="I54" s="84"/>
      <c r="J54" s="44"/>
      <c r="K54" s="30"/>
      <c r="L54" s="26"/>
      <c r="M54" s="26"/>
      <c r="N54" s="26"/>
      <c r="O54" s="26"/>
      <c r="P54" s="26"/>
      <c r="Q54" s="26"/>
      <c r="R54" s="16"/>
    </row>
    <row r="55" spans="2:20" x14ac:dyDescent="0.25">
      <c r="B55" s="14"/>
      <c r="C55" s="2"/>
      <c r="D55" s="2"/>
      <c r="E55" s="2"/>
      <c r="F55" s="2"/>
      <c r="G55" s="2"/>
      <c r="H55" s="2"/>
      <c r="J55" s="44"/>
      <c r="K55" s="30" t="s">
        <v>25</v>
      </c>
      <c r="L55" s="26">
        <v>1</v>
      </c>
      <c r="M55" s="26">
        <v>1</v>
      </c>
      <c r="N55" s="26">
        <v>1</v>
      </c>
      <c r="O55" s="26">
        <v>1</v>
      </c>
      <c r="P55" s="31">
        <f>(P56-Q56)/Q56</f>
        <v>-1.0666385972298974E-2</v>
      </c>
      <c r="Q55" s="31">
        <f>(Q56-R56)/R56</f>
        <v>-2.6717606129810258E-2</v>
      </c>
      <c r="R55" s="16"/>
    </row>
    <row r="56" spans="2:20" x14ac:dyDescent="0.25">
      <c r="B56" s="14"/>
      <c r="G56" s="2"/>
      <c r="I56" s="16"/>
      <c r="K56" s="30" t="s">
        <v>14</v>
      </c>
      <c r="L56" s="24">
        <f>M56*L55</f>
        <v>225574</v>
      </c>
      <c r="M56" s="24">
        <f>N56*M55</f>
        <v>225574</v>
      </c>
      <c r="N56" s="24">
        <f>O56*N55</f>
        <v>225574</v>
      </c>
      <c r="O56" s="24">
        <f>P56*O55</f>
        <v>225574</v>
      </c>
      <c r="P56" s="24">
        <f>60521+56876+55074+53103</f>
        <v>225574</v>
      </c>
      <c r="Q56" s="24">
        <f>60051+58132+58136+51687</f>
        <v>228006</v>
      </c>
      <c r="R56" s="16">
        <f>63515+58867+58482+53401</f>
        <v>234265</v>
      </c>
    </row>
    <row r="57" spans="2:20" x14ac:dyDescent="0.25">
      <c r="B57" s="14" t="s">
        <v>110</v>
      </c>
      <c r="C57" s="15">
        <v>1</v>
      </c>
      <c r="D57" s="15">
        <v>1</v>
      </c>
      <c r="E57" s="15">
        <v>1</v>
      </c>
      <c r="F57" s="15">
        <v>1</v>
      </c>
      <c r="G57" s="17">
        <f>(G58-H58)/H58</f>
        <v>-2.0072023711827914E-2</v>
      </c>
      <c r="H57" s="17">
        <f>(H58-I58)/I58</f>
        <v>-7.3974625323465618E-2</v>
      </c>
      <c r="I57" s="16"/>
      <c r="K57" s="30" t="s">
        <v>77</v>
      </c>
      <c r="L57" s="26">
        <f>M57*L49</f>
        <v>5.5987199999999993</v>
      </c>
      <c r="M57" s="26">
        <f>N57*M49</f>
        <v>4.6655999999999995</v>
      </c>
      <c r="N57" s="26">
        <f>O57*N49</f>
        <v>3.8879999999999999</v>
      </c>
      <c r="O57" s="26">
        <f>P57*O49</f>
        <v>3.24</v>
      </c>
      <c r="P57" s="26">
        <v>2.7</v>
      </c>
      <c r="Q57" s="26">
        <v>2.62</v>
      </c>
      <c r="R57" s="16"/>
    </row>
    <row r="58" spans="2:20" x14ac:dyDescent="0.25">
      <c r="B58" s="14" t="s">
        <v>111</v>
      </c>
      <c r="C58" s="6">
        <f>D58*C57</f>
        <v>304494</v>
      </c>
      <c r="D58" s="6">
        <f>E58*D57</f>
        <v>304494</v>
      </c>
      <c r="E58" s="6">
        <f>F58*E57</f>
        <v>304494</v>
      </c>
      <c r="F58" s="6">
        <f>G58*F57</f>
        <v>304494</v>
      </c>
      <c r="G58" s="6">
        <f>(82504+78136+73104)+70750</f>
        <v>304494</v>
      </c>
      <c r="H58" s="6">
        <f>(68645+82461+79385+80240)</f>
        <v>310731</v>
      </c>
      <c r="I58" s="16">
        <f>85743+8275.63+78303+11629.47+76447+3741.48+69624+1789.86</f>
        <v>335553.44</v>
      </c>
      <c r="K58" s="30"/>
      <c r="L58" s="24"/>
      <c r="M58" s="24"/>
      <c r="N58" s="24"/>
      <c r="O58" s="24"/>
      <c r="P58" s="24"/>
      <c r="Q58" s="24"/>
      <c r="R58" s="16"/>
    </row>
    <row r="59" spans="2:20" x14ac:dyDescent="0.25">
      <c r="B59" s="14" t="s">
        <v>107</v>
      </c>
      <c r="C59" s="87">
        <f>D59*C49</f>
        <v>5.2948473344000009</v>
      </c>
      <c r="D59" s="87">
        <f>E59*D49</f>
        <v>5.091199360000001</v>
      </c>
      <c r="E59" s="87">
        <f>F59*E49</f>
        <v>4.8953840000000008</v>
      </c>
      <c r="F59" s="87">
        <f>G59*F49</f>
        <v>4.7071000000000005</v>
      </c>
      <c r="G59" s="87">
        <v>4.57</v>
      </c>
      <c r="H59" s="87">
        <v>4.4400000000000004</v>
      </c>
      <c r="I59" s="16"/>
      <c r="K59" s="30" t="s">
        <v>31</v>
      </c>
      <c r="L59" s="24">
        <f t="shared" ref="L59:Q59" si="21">L14</f>
        <v>1010423.1277177237</v>
      </c>
      <c r="M59" s="24">
        <f t="shared" si="21"/>
        <v>939928.49090020813</v>
      </c>
      <c r="N59" s="24">
        <f t="shared" si="21"/>
        <v>874352.08455833315</v>
      </c>
      <c r="O59" s="24">
        <f t="shared" si="21"/>
        <v>813350.77633333323</v>
      </c>
      <c r="P59" s="24">
        <f t="shared" si="21"/>
        <v>756605.37333333329</v>
      </c>
      <c r="Q59" s="24">
        <f t="shared" si="21"/>
        <v>756604.56</v>
      </c>
      <c r="R59" s="16">
        <v>588554.23999999999</v>
      </c>
    </row>
    <row r="60" spans="2:20" x14ac:dyDescent="0.25">
      <c r="B60" s="83" t="s">
        <v>112</v>
      </c>
      <c r="C60" s="6">
        <f>D60</f>
        <v>18898.54</v>
      </c>
      <c r="D60" s="6">
        <f>E60</f>
        <v>18898.54</v>
      </c>
      <c r="E60" s="6">
        <f>F60</f>
        <v>18898.54</v>
      </c>
      <c r="F60" s="6">
        <f>G60</f>
        <v>18898.54</v>
      </c>
      <c r="G60" s="6">
        <f>+(5102.26+12538.43+1078.73)+179.12</f>
        <v>18898.54</v>
      </c>
      <c r="H60" s="6">
        <f>+(1471.73+3658.6+7948.13+1376.82)</f>
        <v>14455.279999999999</v>
      </c>
      <c r="I60" s="16"/>
      <c r="K60" s="30"/>
      <c r="L60" s="60">
        <v>7.4999999999999997E-2</v>
      </c>
      <c r="M60" s="60">
        <v>7.4999999999999997E-2</v>
      </c>
      <c r="N60" s="60">
        <v>7.4999999999999997E-2</v>
      </c>
      <c r="O60" s="60">
        <v>7.4999999999999997E-2</v>
      </c>
      <c r="P60" s="24"/>
      <c r="Q60" s="24"/>
      <c r="R60" s="16"/>
    </row>
    <row r="61" spans="2:20" x14ac:dyDescent="0.25">
      <c r="B61" s="14"/>
      <c r="C61" s="43"/>
      <c r="D61" s="6"/>
      <c r="E61" s="43"/>
      <c r="F61" s="6"/>
      <c r="G61" s="6"/>
      <c r="H61" s="6"/>
      <c r="I61" s="16"/>
      <c r="K61" s="30"/>
      <c r="L61" s="24"/>
      <c r="M61" s="24"/>
      <c r="N61" s="24"/>
      <c r="O61" s="59"/>
      <c r="P61" s="24"/>
      <c r="Q61" s="24"/>
      <c r="R61" s="16"/>
    </row>
    <row r="62" spans="2:20" x14ac:dyDescent="0.25">
      <c r="B62" s="14"/>
      <c r="C62" s="6"/>
      <c r="D62" s="6"/>
      <c r="E62" s="6"/>
      <c r="F62" s="64"/>
      <c r="G62" s="6"/>
      <c r="H62" s="6"/>
      <c r="I62" s="16"/>
      <c r="K62" s="30"/>
      <c r="L62" s="24"/>
      <c r="M62" s="24"/>
      <c r="N62" s="59"/>
      <c r="O62" s="24"/>
      <c r="P62" s="24"/>
      <c r="Q62" s="24"/>
      <c r="R62" s="16"/>
    </row>
    <row r="63" spans="2:20" x14ac:dyDescent="0.25">
      <c r="B63" s="14" t="s">
        <v>103</v>
      </c>
      <c r="C63" s="78">
        <f t="shared" ref="C63:G63" si="22">SUM(C36:C37)</f>
        <v>208134.71360000002</v>
      </c>
      <c r="D63" s="78">
        <f t="shared" si="22"/>
        <v>220644.8836</v>
      </c>
      <c r="E63" s="78">
        <f t="shared" si="22"/>
        <v>232723.49023999998</v>
      </c>
      <c r="F63" s="78">
        <f t="shared" si="22"/>
        <v>238520.19615999999</v>
      </c>
      <c r="G63" s="78">
        <f t="shared" si="22"/>
        <v>219489.12</v>
      </c>
      <c r="H63" s="78">
        <f>SUM(H36:H37)</f>
        <v>206215</v>
      </c>
      <c r="I63" s="16"/>
      <c r="K63" s="14" t="s">
        <v>52</v>
      </c>
      <c r="L63" s="24">
        <f t="shared" ref="L63:Q63" si="23">SUM(L36:L38)</f>
        <v>87999.42787</v>
      </c>
      <c r="M63" s="24">
        <f t="shared" si="23"/>
        <v>94557.322869999989</v>
      </c>
      <c r="N63" s="24">
        <f t="shared" si="23"/>
        <v>100913.99445799999</v>
      </c>
      <c r="O63" s="24">
        <f t="shared" si="23"/>
        <v>97928.490797000006</v>
      </c>
      <c r="P63" s="24">
        <f t="shared" si="23"/>
        <v>52067.56</v>
      </c>
      <c r="Q63" s="24">
        <f t="shared" si="23"/>
        <v>54869.98</v>
      </c>
      <c r="R63" s="16"/>
    </row>
    <row r="64" spans="2:20" x14ac:dyDescent="0.25">
      <c r="B64" s="14" t="s">
        <v>104</v>
      </c>
      <c r="C64" s="79">
        <f t="shared" ref="C64:H64" si="24">(C54*4)+((C53*C51)*4)</f>
        <v>1143554.7573219326</v>
      </c>
      <c r="D64" s="79">
        <f t="shared" si="24"/>
        <v>1099571.8820403197</v>
      </c>
      <c r="E64" s="79">
        <f t="shared" si="24"/>
        <v>1057280.6558079999</v>
      </c>
      <c r="F64" s="79">
        <f t="shared" si="24"/>
        <v>1016616.0151999999</v>
      </c>
      <c r="G64" s="79">
        <f>(G54*4)+((G53*G51)*4)</f>
        <v>987005.84</v>
      </c>
      <c r="H64" s="79">
        <f t="shared" si="24"/>
        <v>952910.84999999986</v>
      </c>
      <c r="I64" s="16"/>
      <c r="K64" s="30" t="s">
        <v>26</v>
      </c>
      <c r="L64" s="25">
        <f t="shared" ref="L64:Q64" si="25">((L53*L51)*4)+L59</f>
        <v>1594638.6068187542</v>
      </c>
      <c r="M64" s="25">
        <f t="shared" si="25"/>
        <v>1501674.1438819682</v>
      </c>
      <c r="N64" s="25">
        <f t="shared" si="25"/>
        <v>1414492.1355023333</v>
      </c>
      <c r="O64" s="25">
        <f t="shared" si="25"/>
        <v>1332716.2099333331</v>
      </c>
      <c r="P64" s="25">
        <f>((P53*P51)*4)+P59</f>
        <v>1255995.2133333334</v>
      </c>
      <c r="Q64" s="25">
        <f t="shared" si="25"/>
        <v>1240199.07</v>
      </c>
      <c r="R64" s="16"/>
    </row>
    <row r="65" spans="2:20" x14ac:dyDescent="0.25">
      <c r="B65" s="14"/>
      <c r="C65" s="78">
        <f t="shared" ref="C65:H65" si="26">-C63+C64</f>
        <v>935420.04372193257</v>
      </c>
      <c r="D65" s="78">
        <f t="shared" si="26"/>
        <v>878926.99844031967</v>
      </c>
      <c r="E65" s="78">
        <f t="shared" si="26"/>
        <v>824557.16556799994</v>
      </c>
      <c r="F65" s="78">
        <f t="shared" si="26"/>
        <v>778095.81903999997</v>
      </c>
      <c r="G65" s="78">
        <f t="shared" si="26"/>
        <v>767516.72</v>
      </c>
      <c r="H65" s="78">
        <f t="shared" si="26"/>
        <v>746695.84999999986</v>
      </c>
      <c r="I65" s="16"/>
      <c r="K65" s="30"/>
      <c r="L65" s="24">
        <f t="shared" ref="L65:Q65" si="27">-L63+L64</f>
        <v>1506639.1789487542</v>
      </c>
      <c r="M65" s="24">
        <f t="shared" si="27"/>
        <v>1407116.8210119682</v>
      </c>
      <c r="N65" s="24">
        <f t="shared" si="27"/>
        <v>1313578.1410443333</v>
      </c>
      <c r="O65" s="24">
        <f t="shared" si="27"/>
        <v>1234787.7191363331</v>
      </c>
      <c r="P65" s="24">
        <f t="shared" si="27"/>
        <v>1203927.6533333333</v>
      </c>
      <c r="Q65" s="24">
        <f t="shared" si="27"/>
        <v>1185329.0900000001</v>
      </c>
      <c r="R65" s="16"/>
    </row>
    <row r="66" spans="2:20" x14ac:dyDescent="0.25">
      <c r="B66" s="14"/>
      <c r="C66" s="6"/>
      <c r="D66" s="6"/>
      <c r="F66" s="6"/>
      <c r="G66" s="6"/>
      <c r="H66" s="6"/>
      <c r="I66" s="16"/>
      <c r="K66" s="30"/>
      <c r="L66" s="24"/>
      <c r="M66" s="24"/>
      <c r="N66" s="24"/>
      <c r="O66" s="24"/>
      <c r="P66" s="24"/>
      <c r="Q66" s="24"/>
      <c r="R66" s="16"/>
    </row>
    <row r="67" spans="2:20" x14ac:dyDescent="0.25">
      <c r="B67" s="14" t="s">
        <v>101</v>
      </c>
      <c r="C67" s="78">
        <f t="shared" ref="C67:H67" si="28">C33</f>
        <v>2586092.1112923753</v>
      </c>
      <c r="D67" s="78">
        <f t="shared" si="28"/>
        <v>2462944.8678975003</v>
      </c>
      <c r="E67" s="78">
        <f t="shared" si="28"/>
        <v>2345661.7789500002</v>
      </c>
      <c r="F67" s="78">
        <f t="shared" si="28"/>
        <v>2233963.5989999999</v>
      </c>
      <c r="G67" s="78">
        <f t="shared" si="28"/>
        <v>2127584.38</v>
      </c>
      <c r="H67" s="78">
        <f t="shared" si="28"/>
        <v>1956759</v>
      </c>
      <c r="I67" s="16"/>
      <c r="K67" s="30" t="s">
        <v>27</v>
      </c>
      <c r="L67" s="24">
        <f t="shared" ref="L67:Q67" si="29">L33</f>
        <v>2575189.7981538754</v>
      </c>
      <c r="M67" s="24">
        <f t="shared" si="29"/>
        <v>2452561.7125275005</v>
      </c>
      <c r="N67" s="24">
        <f t="shared" si="29"/>
        <v>2335773.0595500004</v>
      </c>
      <c r="O67" s="24">
        <f t="shared" si="29"/>
        <v>2224545.7710000002</v>
      </c>
      <c r="P67" s="24">
        <f t="shared" si="29"/>
        <v>2118615.02</v>
      </c>
      <c r="Q67" s="24">
        <f t="shared" si="29"/>
        <v>1997013.52</v>
      </c>
      <c r="R67" s="16"/>
    </row>
    <row r="68" spans="2:20" x14ac:dyDescent="0.25">
      <c r="B68" s="14" t="s">
        <v>102</v>
      </c>
      <c r="C68" s="79">
        <f t="shared" ref="C68:H68" si="30">(C58+C60)*C59</f>
        <v>1712314.1283838456</v>
      </c>
      <c r="D68" s="79">
        <f t="shared" si="30"/>
        <v>1646455.8926767746</v>
      </c>
      <c r="E68" s="79">
        <f t="shared" si="30"/>
        <v>1583130.6660353602</v>
      </c>
      <c r="F68" s="79">
        <f t="shared" si="30"/>
        <v>1522241.0250340002</v>
      </c>
      <c r="G68" s="79">
        <f>(G58+G60)*G59</f>
        <v>1477903.9077999999</v>
      </c>
      <c r="H68" s="79">
        <f t="shared" si="30"/>
        <v>1443827.0832000002</v>
      </c>
      <c r="I68" s="16"/>
      <c r="K68" s="30" t="s">
        <v>28</v>
      </c>
      <c r="L68" s="25">
        <f t="shared" ref="L68:Q68" si="31">L56*L57</f>
        <v>1262925.6652799998</v>
      </c>
      <c r="M68" s="25">
        <f t="shared" si="31"/>
        <v>1052438.0543999998</v>
      </c>
      <c r="N68" s="25">
        <f t="shared" si="31"/>
        <v>877031.71199999994</v>
      </c>
      <c r="O68" s="25">
        <f>O56*O57</f>
        <v>730859.76</v>
      </c>
      <c r="P68" s="25">
        <f>P56*P57</f>
        <v>609049.80000000005</v>
      </c>
      <c r="Q68" s="25">
        <f t="shared" si="31"/>
        <v>597375.72</v>
      </c>
      <c r="R68" s="16"/>
    </row>
    <row r="69" spans="2:20" x14ac:dyDescent="0.25">
      <c r="B69" s="14"/>
      <c r="C69" s="78">
        <f t="shared" ref="C69:H69" si="32">-C67+C68</f>
        <v>-873777.9829085297</v>
      </c>
      <c r="D69" s="78">
        <f t="shared" si="32"/>
        <v>-816488.97522072564</v>
      </c>
      <c r="E69" s="78">
        <f t="shared" si="32"/>
        <v>-762531.11291463999</v>
      </c>
      <c r="F69" s="78">
        <f t="shared" si="32"/>
        <v>-711722.57396599976</v>
      </c>
      <c r="G69" s="78">
        <f t="shared" si="32"/>
        <v>-649680.47219999996</v>
      </c>
      <c r="H69" s="78">
        <f t="shared" si="32"/>
        <v>-512931.91679999977</v>
      </c>
      <c r="I69" s="16"/>
      <c r="K69" s="30"/>
      <c r="L69" s="24">
        <f t="shared" ref="L69:Q69" si="33">-L67+L68</f>
        <v>-1312264.1328738756</v>
      </c>
      <c r="M69" s="24">
        <f t="shared" si="33"/>
        <v>-1400123.6581275007</v>
      </c>
      <c r="N69" s="24">
        <f t="shared" si="33"/>
        <v>-1458741.3475500005</v>
      </c>
      <c r="O69" s="24">
        <f t="shared" si="33"/>
        <v>-1493686.0110000002</v>
      </c>
      <c r="P69" s="24">
        <f t="shared" si="33"/>
        <v>-1509565.22</v>
      </c>
      <c r="Q69" s="24">
        <f t="shared" si="33"/>
        <v>-1399637.8</v>
      </c>
      <c r="R69" s="16"/>
    </row>
    <row r="70" spans="2:20" x14ac:dyDescent="0.25">
      <c r="B70" s="14"/>
      <c r="C70" s="6"/>
      <c r="D70" s="6"/>
      <c r="E70" s="6"/>
      <c r="F70" s="6"/>
      <c r="G70" s="6"/>
      <c r="H70" s="6"/>
      <c r="I70" s="16"/>
      <c r="K70" s="30"/>
      <c r="L70" s="24"/>
      <c r="M70" s="24"/>
      <c r="N70" s="24"/>
      <c r="O70" s="24"/>
      <c r="P70" s="24"/>
      <c r="Q70" s="24"/>
      <c r="R70" s="16"/>
    </row>
    <row r="71" spans="2:20" x14ac:dyDescent="0.25">
      <c r="B71" s="14" t="s">
        <v>44</v>
      </c>
      <c r="C71" s="78">
        <f t="shared" ref="C71:H71" si="34">C26+C27+C28</f>
        <v>176901.3725</v>
      </c>
      <c r="D71" s="78">
        <f t="shared" si="34"/>
        <v>177342.94500000001</v>
      </c>
      <c r="E71" s="78">
        <f t="shared" si="34"/>
        <v>176459.80000000002</v>
      </c>
      <c r="F71" s="78">
        <f t="shared" si="34"/>
        <v>178226.09</v>
      </c>
      <c r="G71" s="78">
        <f t="shared" si="34"/>
        <v>174693.50999999998</v>
      </c>
      <c r="H71" s="78">
        <f t="shared" si="34"/>
        <v>211576.41</v>
      </c>
      <c r="I71" s="16"/>
      <c r="K71" s="30" t="s">
        <v>48</v>
      </c>
      <c r="L71" s="24">
        <f t="shared" ref="L71:Q71" si="35">L26+L27+L28</f>
        <v>57930.790000000008</v>
      </c>
      <c r="M71" s="24">
        <f t="shared" si="35"/>
        <v>57930.790000000008</v>
      </c>
      <c r="N71" s="24">
        <f t="shared" si="35"/>
        <v>57930.790000000008</v>
      </c>
      <c r="O71" s="24">
        <f t="shared" si="35"/>
        <v>57934.790000000008</v>
      </c>
      <c r="P71" s="24">
        <f t="shared" si="35"/>
        <v>57939.790000000008</v>
      </c>
      <c r="Q71" s="24">
        <f t="shared" si="35"/>
        <v>87617.790000000008</v>
      </c>
      <c r="R71" s="16"/>
    </row>
    <row r="72" spans="2:20" x14ac:dyDescent="0.25">
      <c r="B72" s="14" t="s">
        <v>45</v>
      </c>
      <c r="C72" s="80">
        <f t="shared" ref="C72:H72" si="36">C29</f>
        <v>0</v>
      </c>
      <c r="D72" s="80">
        <f t="shared" si="36"/>
        <v>0</v>
      </c>
      <c r="E72" s="80">
        <f t="shared" si="36"/>
        <v>0</v>
      </c>
      <c r="F72" s="80">
        <f t="shared" si="36"/>
        <v>0</v>
      </c>
      <c r="G72" s="80">
        <f t="shared" si="36"/>
        <v>424261.22999999992</v>
      </c>
      <c r="H72" s="80">
        <f t="shared" si="36"/>
        <v>37204.68</v>
      </c>
      <c r="I72" s="65"/>
      <c r="K72" s="14" t="s">
        <v>49</v>
      </c>
      <c r="L72" s="5">
        <f t="shared" ref="L72:Q72" si="37">L29</f>
        <v>0</v>
      </c>
      <c r="M72" s="5">
        <f t="shared" si="37"/>
        <v>0</v>
      </c>
      <c r="N72" s="5">
        <f t="shared" si="37"/>
        <v>0</v>
      </c>
      <c r="O72" s="5">
        <f t="shared" si="37"/>
        <v>0</v>
      </c>
      <c r="P72" s="5">
        <f t="shared" si="37"/>
        <v>-14640.72</v>
      </c>
      <c r="Q72" s="5">
        <f t="shared" si="37"/>
        <v>376410.57</v>
      </c>
      <c r="R72" s="16"/>
    </row>
    <row r="73" spans="2:20" x14ac:dyDescent="0.25">
      <c r="B73" s="14" t="s">
        <v>72</v>
      </c>
      <c r="C73" s="81">
        <f t="shared" ref="C73:H73" si="38">C64-C63+C68-C67+C71+C72</f>
        <v>238543.43331340275</v>
      </c>
      <c r="D73" s="81">
        <f t="shared" si="38"/>
        <v>239780.96821959381</v>
      </c>
      <c r="E73" s="81">
        <f t="shared" si="38"/>
        <v>238485.8526533602</v>
      </c>
      <c r="F73" s="81">
        <f t="shared" si="38"/>
        <v>244599.33507400021</v>
      </c>
      <c r="G73" s="81">
        <f t="shared" si="38"/>
        <v>716790.9878</v>
      </c>
      <c r="H73" s="81">
        <f t="shared" si="38"/>
        <v>482545.02319999988</v>
      </c>
      <c r="I73" s="16"/>
      <c r="K73" s="14" t="s">
        <v>71</v>
      </c>
      <c r="L73" s="45">
        <f t="shared" ref="L73:Q73" si="39">L64-L63+L68-L67+L71+L72</f>
        <v>252305.83607487843</v>
      </c>
      <c r="M73" s="45">
        <f t="shared" si="39"/>
        <v>64923.95288446729</v>
      </c>
      <c r="N73" s="45">
        <f t="shared" si="39"/>
        <v>-87232.416505666944</v>
      </c>
      <c r="O73" s="45">
        <f t="shared" si="39"/>
        <v>-200963.50186366707</v>
      </c>
      <c r="P73" s="45">
        <f t="shared" si="39"/>
        <v>-262338.49666666664</v>
      </c>
      <c r="Q73" s="45">
        <f t="shared" si="39"/>
        <v>249719.65000000005</v>
      </c>
      <c r="R73" s="16"/>
    </row>
    <row r="74" spans="2:20" s="68" customFormat="1" x14ac:dyDescent="0.25">
      <c r="B74" s="30" t="s">
        <v>125</v>
      </c>
      <c r="C74" s="102">
        <f>G74</f>
        <v>465574.48</v>
      </c>
      <c r="D74" s="102">
        <f>G74</f>
        <v>465574.48</v>
      </c>
      <c r="E74" s="102">
        <f>G74</f>
        <v>465574.48</v>
      </c>
      <c r="F74" s="102">
        <f>G74</f>
        <v>465574.48</v>
      </c>
      <c r="G74" s="102">
        <v>465574.48</v>
      </c>
      <c r="H74" s="102">
        <f>444985</f>
        <v>444985</v>
      </c>
      <c r="I74" s="103"/>
      <c r="J74" s="7"/>
      <c r="K74" s="30" t="s">
        <v>125</v>
      </c>
      <c r="L74" s="24">
        <f>M74</f>
        <v>364434.64</v>
      </c>
      <c r="M74" s="24">
        <f>N74</f>
        <v>364434.64</v>
      </c>
      <c r="N74" s="24">
        <f>O74</f>
        <v>364434.64</v>
      </c>
      <c r="O74" s="24">
        <f>P74</f>
        <v>364434.64</v>
      </c>
      <c r="P74" s="24">
        <v>364434.64</v>
      </c>
      <c r="Q74" s="24">
        <v>330542</v>
      </c>
      <c r="R74" s="103"/>
      <c r="S74" s="7"/>
    </row>
    <row r="75" spans="2:20" x14ac:dyDescent="0.25">
      <c r="B75" s="30" t="s">
        <v>53</v>
      </c>
      <c r="C75" s="79">
        <f t="shared" ref="C75:H75" si="40">SUM(C40:C42)</f>
        <v>409463.93199999997</v>
      </c>
      <c r="D75" s="79">
        <f t="shared" si="40"/>
        <v>399085.88199999998</v>
      </c>
      <c r="E75" s="79">
        <f t="shared" si="40"/>
        <v>438540.78700000001</v>
      </c>
      <c r="F75" s="79">
        <f t="shared" si="40"/>
        <v>386118.07499999995</v>
      </c>
      <c r="G75" s="79">
        <f t="shared" si="40"/>
        <v>743370.1100000001</v>
      </c>
      <c r="H75" s="79">
        <f t="shared" si="40"/>
        <v>353281</v>
      </c>
      <c r="I75" s="16"/>
      <c r="K75" s="30" t="s">
        <v>53</v>
      </c>
      <c r="L75" s="5">
        <f t="shared" ref="L75:Q75" si="41">SUM(L41:L44)</f>
        <v>559054.2169</v>
      </c>
      <c r="M75" s="5">
        <f t="shared" si="41"/>
        <v>557080.54689999996</v>
      </c>
      <c r="N75" s="5">
        <f t="shared" si="41"/>
        <v>502902.66189999995</v>
      </c>
      <c r="O75" s="5">
        <f t="shared" si="41"/>
        <v>334754.71499999997</v>
      </c>
      <c r="P75" s="5">
        <f t="shared" si="41"/>
        <v>131450.39000000001</v>
      </c>
      <c r="Q75" s="5">
        <f t="shared" si="41"/>
        <v>128012.76999999999</v>
      </c>
      <c r="R75" s="16"/>
    </row>
    <row r="76" spans="2:20" x14ac:dyDescent="0.25">
      <c r="B76" s="14" t="s">
        <v>124</v>
      </c>
      <c r="C76" s="78">
        <f t="shared" ref="C76:H76" si="42">C73-C75+C74</f>
        <v>294653.98131340276</v>
      </c>
      <c r="D76" s="78">
        <f t="shared" si="42"/>
        <v>306269.56621959381</v>
      </c>
      <c r="E76" s="78">
        <f t="shared" si="42"/>
        <v>265519.5456533602</v>
      </c>
      <c r="F76" s="78">
        <f t="shared" si="42"/>
        <v>324055.7400740002</v>
      </c>
      <c r="G76" s="78">
        <f t="shared" si="42"/>
        <v>438995.35779999988</v>
      </c>
      <c r="H76" s="78">
        <f t="shared" si="42"/>
        <v>574249.02319999994</v>
      </c>
      <c r="I76" s="16"/>
      <c r="K76" s="14" t="s">
        <v>124</v>
      </c>
      <c r="L76" s="78">
        <f t="shared" ref="L76:Q76" si="43">L73-L75+L74</f>
        <v>57686.259174878476</v>
      </c>
      <c r="M76" s="78">
        <f t="shared" si="43"/>
        <v>-127721.95401553262</v>
      </c>
      <c r="N76" s="78">
        <f t="shared" si="43"/>
        <v>-225700.43840566685</v>
      </c>
      <c r="O76" s="78">
        <f t="shared" si="43"/>
        <v>-171283.576863667</v>
      </c>
      <c r="P76" s="78">
        <f t="shared" si="43"/>
        <v>-29354.246666666644</v>
      </c>
      <c r="Q76" s="78">
        <f t="shared" si="43"/>
        <v>452248.88000000006</v>
      </c>
      <c r="R76" s="16"/>
    </row>
    <row r="77" spans="2:20" x14ac:dyDescent="0.25">
      <c r="B77" s="18"/>
      <c r="C77" s="5"/>
      <c r="D77" s="5"/>
      <c r="E77" s="5"/>
      <c r="F77" s="5"/>
      <c r="G77" s="5"/>
      <c r="H77" s="5"/>
      <c r="I77" s="19"/>
      <c r="K77" s="18"/>
      <c r="L77" s="5"/>
      <c r="M77" s="5"/>
      <c r="N77" s="5"/>
      <c r="O77" s="5"/>
      <c r="P77" s="5"/>
      <c r="Q77" s="5"/>
      <c r="R77" s="19"/>
    </row>
    <row r="78" spans="2:20" x14ac:dyDescent="0.25">
      <c r="B78" s="14" t="s">
        <v>113</v>
      </c>
      <c r="C78" s="85">
        <f>F78</f>
        <v>32</v>
      </c>
      <c r="D78" s="85">
        <f>F78</f>
        <v>32</v>
      </c>
      <c r="E78" s="85">
        <f>H78</f>
        <v>32</v>
      </c>
      <c r="F78" s="85">
        <f>H78</f>
        <v>32</v>
      </c>
      <c r="G78" s="85">
        <f>H78</f>
        <v>32</v>
      </c>
      <c r="H78" s="85">
        <v>32</v>
      </c>
      <c r="I78" s="16"/>
      <c r="K78" s="14" t="s">
        <v>75</v>
      </c>
      <c r="L78" s="24">
        <f>E78</f>
        <v>32</v>
      </c>
      <c r="M78" s="24">
        <f>E78</f>
        <v>32</v>
      </c>
      <c r="N78" s="24">
        <f>E78</f>
        <v>32</v>
      </c>
      <c r="O78" s="24">
        <f>F78</f>
        <v>32</v>
      </c>
      <c r="P78" s="24">
        <f>O78</f>
        <v>32</v>
      </c>
      <c r="Q78" s="24">
        <f>P78</f>
        <v>32</v>
      </c>
      <c r="R78" s="16"/>
      <c r="S78" s="1" t="s">
        <v>97</v>
      </c>
    </row>
    <row r="79" spans="2:20" x14ac:dyDescent="0.25">
      <c r="B79" s="14" t="s">
        <v>115</v>
      </c>
      <c r="C79" s="86">
        <f t="shared" ref="C79:G79" si="44">((C78)*C59)+C53</f>
        <v>238.92853770240004</v>
      </c>
      <c r="D79" s="86">
        <f t="shared" si="44"/>
        <v>229.73897856000002</v>
      </c>
      <c r="E79" s="86">
        <f t="shared" si="44"/>
        <v>220.90286400000002</v>
      </c>
      <c r="F79" s="86">
        <f t="shared" si="44"/>
        <v>212.40660000000003</v>
      </c>
      <c r="G79" s="86">
        <f t="shared" si="44"/>
        <v>206.22</v>
      </c>
      <c r="H79" s="86">
        <f>((H78)*H59)+H53</f>
        <v>200.31</v>
      </c>
      <c r="I79" s="16"/>
      <c r="K79" s="14" t="s">
        <v>32</v>
      </c>
      <c r="L79" s="34">
        <f t="shared" ref="L79:P79" si="45">((L78)*L57)+L53</f>
        <v>230.96037703679997</v>
      </c>
      <c r="M79" s="34">
        <f t="shared" si="45"/>
        <v>199.10817792</v>
      </c>
      <c r="N79" s="34">
        <f t="shared" si="45"/>
        <v>172.309248</v>
      </c>
      <c r="O79" s="34">
        <f t="shared" si="45"/>
        <v>149.7312</v>
      </c>
      <c r="P79" s="34">
        <f t="shared" si="45"/>
        <v>130.68</v>
      </c>
      <c r="Q79" s="34">
        <f>((Q78)*Q57)+Q53</f>
        <v>126.83000000000001</v>
      </c>
      <c r="R79" s="16"/>
      <c r="S79" s="56">
        <f>(F79+O79)-(G79+P79)</f>
        <v>25.23780000000005</v>
      </c>
      <c r="T79" s="58"/>
    </row>
    <row r="80" spans="2:20" x14ac:dyDescent="0.25">
      <c r="B80" s="14" t="s">
        <v>114</v>
      </c>
      <c r="C80" s="24">
        <f t="shared" ref="C80:G80" si="46">1150/100</f>
        <v>11.5</v>
      </c>
      <c r="D80" s="24">
        <f t="shared" si="46"/>
        <v>11.5</v>
      </c>
      <c r="E80" s="24">
        <f t="shared" si="46"/>
        <v>11.5</v>
      </c>
      <c r="F80" s="24">
        <f t="shared" si="46"/>
        <v>11.5</v>
      </c>
      <c r="G80" s="24">
        <f t="shared" si="46"/>
        <v>11.5</v>
      </c>
      <c r="H80" s="24">
        <f>1150/100</f>
        <v>11.5</v>
      </c>
      <c r="I80" s="16"/>
      <c r="K80" s="14" t="s">
        <v>76</v>
      </c>
      <c r="L80" s="24">
        <f>F80</f>
        <v>11.5</v>
      </c>
      <c r="M80" s="24">
        <f>D80</f>
        <v>11.5</v>
      </c>
      <c r="N80" s="24">
        <f>E80</f>
        <v>11.5</v>
      </c>
      <c r="O80" s="24">
        <f>F80</f>
        <v>11.5</v>
      </c>
      <c r="P80" s="24">
        <f>G80</f>
        <v>11.5</v>
      </c>
      <c r="Q80" s="24">
        <f>H80</f>
        <v>11.5</v>
      </c>
      <c r="R80" s="16"/>
      <c r="S80" s="3"/>
    </row>
    <row r="81" spans="2:20" x14ac:dyDescent="0.25">
      <c r="B81" s="18" t="s">
        <v>115</v>
      </c>
      <c r="C81" s="33">
        <f t="shared" ref="C81:G81" si="47">((C80)*C59)+C53</f>
        <v>130.38416734719999</v>
      </c>
      <c r="D81" s="33">
        <f t="shared" si="47"/>
        <v>125.36939168000001</v>
      </c>
      <c r="E81" s="33">
        <f t="shared" si="47"/>
        <v>120.54749200000001</v>
      </c>
      <c r="F81" s="33">
        <f t="shared" si="47"/>
        <v>115.91105</v>
      </c>
      <c r="G81" s="33">
        <f t="shared" si="47"/>
        <v>112.535</v>
      </c>
      <c r="H81" s="33">
        <f>((H80)*H59)+H53</f>
        <v>109.28999999999999</v>
      </c>
      <c r="I81" s="19"/>
      <c r="K81" s="18" t="s">
        <v>32</v>
      </c>
      <c r="L81" s="33">
        <f>((L80/100)*L57)+L53</f>
        <v>52.445189836800004</v>
      </c>
      <c r="M81" s="33">
        <f>((M80/100)*M57)+M53</f>
        <v>50.345521920000003</v>
      </c>
      <c r="N81" s="33">
        <f>((N80/100)*N57)+N53</f>
        <v>48.340367999999998</v>
      </c>
      <c r="O81" s="33">
        <f>((O80/100)*O57)+O53</f>
        <v>46.4238</v>
      </c>
      <c r="P81" s="33">
        <f>((P80/100)*P57)+P53</f>
        <v>44.590499999999999</v>
      </c>
      <c r="Q81" s="33">
        <f>((Q80)*Q57)+Q53</f>
        <v>73.12</v>
      </c>
      <c r="R81" s="19"/>
      <c r="S81" s="56">
        <f>(F81+O81)-(G81+P81)</f>
        <v>5.209350000000029</v>
      </c>
      <c r="T81" s="58"/>
    </row>
    <row r="82" spans="2:20" x14ac:dyDescent="0.25">
      <c r="B82" s="30" t="s">
        <v>35</v>
      </c>
      <c r="C82" s="36">
        <f t="shared" ref="C82:H82" si="48">C79*4</f>
        <v>955.71415080960014</v>
      </c>
      <c r="D82" s="36">
        <f t="shared" si="48"/>
        <v>918.95591424000008</v>
      </c>
      <c r="E82" s="36">
        <f t="shared" si="48"/>
        <v>883.61145600000009</v>
      </c>
      <c r="F82" s="36">
        <f t="shared" si="48"/>
        <v>849.6264000000001</v>
      </c>
      <c r="G82" s="36">
        <f t="shared" si="48"/>
        <v>824.88</v>
      </c>
      <c r="H82" s="36">
        <f t="shared" si="48"/>
        <v>801.24</v>
      </c>
      <c r="I82" s="16"/>
      <c r="K82" s="27" t="s">
        <v>35</v>
      </c>
      <c r="L82" s="35">
        <f t="shared" ref="L82:Q82" si="49">L79*4</f>
        <v>923.84150814719987</v>
      </c>
      <c r="M82" s="35">
        <f t="shared" si="49"/>
        <v>796.43271168000001</v>
      </c>
      <c r="N82" s="35">
        <f t="shared" si="49"/>
        <v>689.23699199999999</v>
      </c>
      <c r="O82" s="35">
        <f t="shared" si="49"/>
        <v>598.9248</v>
      </c>
      <c r="P82" s="35">
        <f t="shared" si="49"/>
        <v>522.72</v>
      </c>
      <c r="Q82" s="35">
        <f t="shared" si="49"/>
        <v>507.32000000000005</v>
      </c>
      <c r="R82" s="13"/>
      <c r="S82" s="3"/>
    </row>
    <row r="83" spans="2:20" x14ac:dyDescent="0.25">
      <c r="B83" s="30" t="s">
        <v>36</v>
      </c>
      <c r="C83" s="36">
        <f t="shared" ref="C83:H83" si="50">C81*4</f>
        <v>521.53666938879996</v>
      </c>
      <c r="D83" s="36">
        <f t="shared" si="50"/>
        <v>501.47756672000003</v>
      </c>
      <c r="E83" s="36">
        <f t="shared" si="50"/>
        <v>482.18996800000002</v>
      </c>
      <c r="F83" s="36">
        <f t="shared" si="50"/>
        <v>463.64420000000001</v>
      </c>
      <c r="G83" s="36">
        <f t="shared" si="50"/>
        <v>450.14</v>
      </c>
      <c r="H83" s="36">
        <f t="shared" si="50"/>
        <v>437.15999999999997</v>
      </c>
      <c r="I83" s="16"/>
      <c r="K83" s="30" t="s">
        <v>36</v>
      </c>
      <c r="L83" s="36">
        <f t="shared" ref="L83:Q83" si="51">L81*4</f>
        <v>209.78075934720002</v>
      </c>
      <c r="M83" s="36">
        <f t="shared" si="51"/>
        <v>201.38208768000001</v>
      </c>
      <c r="N83" s="36">
        <f t="shared" si="51"/>
        <v>193.36147199999999</v>
      </c>
      <c r="O83" s="36">
        <f t="shared" si="51"/>
        <v>185.6952</v>
      </c>
      <c r="P83" s="36">
        <f t="shared" si="51"/>
        <v>178.36199999999999</v>
      </c>
      <c r="Q83" s="36">
        <f t="shared" si="51"/>
        <v>292.48</v>
      </c>
      <c r="R83" s="16"/>
      <c r="S83" s="1" t="s">
        <v>68</v>
      </c>
    </row>
    <row r="84" spans="2:20" x14ac:dyDescent="0.25">
      <c r="B84" s="30" t="s">
        <v>56</v>
      </c>
      <c r="C84" s="36">
        <f>C82-D82</f>
        <v>36.758236569600058</v>
      </c>
      <c r="D84" s="36">
        <f>D82-E82</f>
        <v>35.344458239999994</v>
      </c>
      <c r="E84" s="36">
        <f t="shared" ref="E84:G85" si="52">E82-F82</f>
        <v>33.985055999999986</v>
      </c>
      <c r="F84" s="47">
        <f>F82-G82</f>
        <v>24.746400000000108</v>
      </c>
      <c r="G84" s="36">
        <f t="shared" si="52"/>
        <v>23.639999999999986</v>
      </c>
      <c r="H84" s="36"/>
      <c r="I84" s="16"/>
      <c r="K84" s="30" t="s">
        <v>56</v>
      </c>
      <c r="L84" s="36">
        <f t="shared" ref="L84:P85" si="53">L82-M82</f>
        <v>127.40879646719986</v>
      </c>
      <c r="M84" s="36">
        <f t="shared" si="53"/>
        <v>107.19571968000002</v>
      </c>
      <c r="N84" s="36">
        <f t="shared" si="53"/>
        <v>90.312191999999982</v>
      </c>
      <c r="O84" s="47">
        <f t="shared" si="53"/>
        <v>76.204799999999977</v>
      </c>
      <c r="P84" s="36">
        <f t="shared" si="53"/>
        <v>15.399999999999977</v>
      </c>
      <c r="Q84" s="36"/>
      <c r="R84" s="16"/>
      <c r="S84" s="57">
        <f>O84+F84</f>
        <v>100.95120000000009</v>
      </c>
    </row>
    <row r="85" spans="2:20" x14ac:dyDescent="0.25">
      <c r="B85" s="32" t="s">
        <v>57</v>
      </c>
      <c r="C85" s="37">
        <f>C83-D83</f>
        <v>20.059102668799937</v>
      </c>
      <c r="D85" s="37">
        <f>D83-E83</f>
        <v>19.287598720000005</v>
      </c>
      <c r="E85" s="37">
        <f t="shared" si="52"/>
        <v>18.54576800000001</v>
      </c>
      <c r="F85" s="48">
        <f>F83-G83</f>
        <v>13.504200000000026</v>
      </c>
      <c r="G85" s="37">
        <f t="shared" si="52"/>
        <v>12.980000000000018</v>
      </c>
      <c r="H85" s="37"/>
      <c r="I85" s="19"/>
      <c r="K85" s="32" t="s">
        <v>57</v>
      </c>
      <c r="L85" s="37">
        <f t="shared" si="53"/>
        <v>8.3986716672000057</v>
      </c>
      <c r="M85" s="37">
        <f t="shared" si="53"/>
        <v>8.0206156800000201</v>
      </c>
      <c r="N85" s="37">
        <f t="shared" si="53"/>
        <v>7.6662719999999922</v>
      </c>
      <c r="O85" s="48">
        <f t="shared" si="53"/>
        <v>7.333200000000005</v>
      </c>
      <c r="P85" s="37">
        <f t="shared" si="53"/>
        <v>-114.11800000000002</v>
      </c>
      <c r="Q85" s="37"/>
      <c r="R85" s="19"/>
      <c r="S85" s="57">
        <f>O85+F85</f>
        <v>20.837400000000031</v>
      </c>
    </row>
    <row r="86" spans="2:20" x14ac:dyDescent="0.25">
      <c r="B86" s="30" t="s">
        <v>69</v>
      </c>
      <c r="C86" s="53">
        <f t="shared" ref="C86:F87" si="54">(C82-D82)/D82</f>
        <v>4.0000000000000056E-2</v>
      </c>
      <c r="D86" s="53">
        <f t="shared" si="54"/>
        <v>3.9999999999999987E-2</v>
      </c>
      <c r="E86" s="53">
        <f t="shared" si="54"/>
        <v>3.999999999999998E-2</v>
      </c>
      <c r="F86" s="52">
        <f t="shared" si="54"/>
        <v>3.0000000000000131E-2</v>
      </c>
      <c r="G86" s="36"/>
      <c r="H86" s="36"/>
      <c r="I86" s="6"/>
      <c r="K86" s="30" t="s">
        <v>69</v>
      </c>
      <c r="L86" s="53">
        <f t="shared" ref="L86:N87" si="55">(L82-M82)/M82</f>
        <v>0.15997433882197401</v>
      </c>
      <c r="M86" s="53">
        <f t="shared" si="55"/>
        <v>0.15552809980344182</v>
      </c>
      <c r="N86" s="53">
        <f t="shared" si="55"/>
        <v>0.15079053664166184</v>
      </c>
      <c r="O86" s="52">
        <f>(O82-P82)/P82</f>
        <v>0.1457851239669421</v>
      </c>
      <c r="P86" s="101"/>
      <c r="Q86" s="36"/>
      <c r="R86" s="6"/>
      <c r="S86" s="55">
        <f>((O82+F82)-(P82+G82))/(G82+P82)</f>
        <v>7.4911843276936924E-2</v>
      </c>
    </row>
    <row r="87" spans="2:20" x14ac:dyDescent="0.25">
      <c r="B87" s="30" t="s">
        <v>70</v>
      </c>
      <c r="C87" s="53">
        <f t="shared" si="54"/>
        <v>3.9999999999999876E-2</v>
      </c>
      <c r="D87" s="53">
        <f t="shared" si="54"/>
        <v>4.0000000000000008E-2</v>
      </c>
      <c r="E87" s="53">
        <f t="shared" si="54"/>
        <v>4.0000000000000022E-2</v>
      </c>
      <c r="F87" s="52">
        <f t="shared" si="54"/>
        <v>3.0000000000000058E-2</v>
      </c>
      <c r="G87" s="36"/>
      <c r="H87" s="36"/>
      <c r="I87" s="6"/>
      <c r="K87" s="30" t="s">
        <v>70</v>
      </c>
      <c r="L87" s="53">
        <f t="shared" si="55"/>
        <v>4.1705157414723276E-2</v>
      </c>
      <c r="M87" s="53">
        <f t="shared" si="55"/>
        <v>4.1479905986648781E-2</v>
      </c>
      <c r="N87" s="53">
        <f t="shared" si="55"/>
        <v>4.1284168896126516E-2</v>
      </c>
      <c r="O87" s="52">
        <f>(O83-P83)/P83</f>
        <v>4.1114138661822612E-2</v>
      </c>
      <c r="P87" s="66"/>
      <c r="Q87" s="36"/>
      <c r="R87" s="6"/>
      <c r="S87" s="55">
        <f>((O83+F83)-(P83+G83))/(G83+P83)</f>
        <v>3.3154071108763561E-2</v>
      </c>
    </row>
    <row r="88" spans="2:20" x14ac:dyDescent="0.25">
      <c r="C88" s="5"/>
      <c r="O88" s="3"/>
    </row>
    <row r="89" spans="2:20" x14ac:dyDescent="0.25">
      <c r="B89" s="38" t="s">
        <v>37</v>
      </c>
      <c r="D89" s="38">
        <v>3000</v>
      </c>
      <c r="F89" s="38" t="s">
        <v>38</v>
      </c>
      <c r="G89" s="38"/>
      <c r="H89" s="38">
        <v>98500</v>
      </c>
      <c r="I89" s="41"/>
      <c r="J89" s="41"/>
      <c r="K89" s="38" t="s">
        <v>39</v>
      </c>
      <c r="L89" s="38"/>
      <c r="M89" s="38">
        <v>74100</v>
      </c>
      <c r="R89"/>
      <c r="S89"/>
    </row>
    <row r="90" spans="2:20" x14ac:dyDescent="0.25">
      <c r="B90" s="38"/>
      <c r="C90" s="38" t="s">
        <v>78</v>
      </c>
      <c r="D90" s="38" t="s">
        <v>55</v>
      </c>
      <c r="F90" s="38"/>
      <c r="G90" s="38" t="s">
        <v>78</v>
      </c>
      <c r="H90" s="38" t="s">
        <v>55</v>
      </c>
      <c r="I90" s="41"/>
      <c r="J90" s="41"/>
      <c r="K90" s="38"/>
      <c r="L90" s="38" t="s">
        <v>78</v>
      </c>
      <c r="M90" s="38" t="s">
        <v>55</v>
      </c>
      <c r="P90" s="9"/>
      <c r="Q90"/>
      <c r="R90"/>
      <c r="S90"/>
    </row>
    <row r="91" spans="2:20" ht="41.25" customHeight="1" x14ac:dyDescent="0.25">
      <c r="B91" s="39" t="s">
        <v>40</v>
      </c>
      <c r="C91" s="40">
        <f>$G$53</f>
        <v>59.98</v>
      </c>
      <c r="D91" s="40">
        <f>$F$53</f>
        <v>61.779399999999995</v>
      </c>
      <c r="F91" s="39" t="s">
        <v>40</v>
      </c>
      <c r="G91" s="40">
        <f>$G$53</f>
        <v>59.98</v>
      </c>
      <c r="H91" s="40">
        <f>$F$53</f>
        <v>61.779399999999995</v>
      </c>
      <c r="I91" s="41"/>
      <c r="J91" s="41"/>
      <c r="K91" s="39" t="s">
        <v>40</v>
      </c>
      <c r="L91" s="40">
        <f>$G$53</f>
        <v>59.98</v>
      </c>
      <c r="M91" s="40">
        <f>$F$53</f>
        <v>61.779399999999995</v>
      </c>
      <c r="N91" s="54"/>
      <c r="Q91"/>
      <c r="R91"/>
      <c r="S91"/>
    </row>
    <row r="92" spans="2:20" ht="41.25" customHeight="1" x14ac:dyDescent="0.25">
      <c r="B92" s="39" t="s">
        <v>98</v>
      </c>
      <c r="C92" s="40">
        <f>(D89/100)*$G$59</f>
        <v>137.10000000000002</v>
      </c>
      <c r="D92" s="40">
        <f>(D89/100)*$F$59</f>
        <v>141.21300000000002</v>
      </c>
      <c r="F92" s="39" t="s">
        <v>98</v>
      </c>
      <c r="G92" s="40">
        <f>(H89/100)*$G$59</f>
        <v>4501.4500000000007</v>
      </c>
      <c r="H92" s="40">
        <f>(H89/100)*$F$59</f>
        <v>4636.4935000000005</v>
      </c>
      <c r="I92" s="41"/>
      <c r="J92" s="41"/>
      <c r="K92" s="39" t="s">
        <v>98</v>
      </c>
      <c r="L92" s="40">
        <f>(M89/100)*$G$59</f>
        <v>3386.3700000000003</v>
      </c>
      <c r="M92" s="40">
        <f>(M89/100)*$F$59</f>
        <v>3487.9611000000004</v>
      </c>
      <c r="N92" s="54"/>
      <c r="Q92"/>
      <c r="R92"/>
      <c r="S92"/>
    </row>
    <row r="93" spans="2:20" ht="41.25" customHeight="1" x14ac:dyDescent="0.25">
      <c r="B93" s="39" t="s">
        <v>41</v>
      </c>
      <c r="C93" s="40">
        <f>$P$53</f>
        <v>44.28</v>
      </c>
      <c r="D93" s="40">
        <f>$O$53</f>
        <v>46.051200000000001</v>
      </c>
      <c r="F93" s="39" t="s">
        <v>41</v>
      </c>
      <c r="G93" s="40">
        <f>$P$53</f>
        <v>44.28</v>
      </c>
      <c r="H93" s="40">
        <f>$O$53</f>
        <v>46.051200000000001</v>
      </c>
      <c r="I93" s="41"/>
      <c r="J93" s="41"/>
      <c r="K93" s="39" t="s">
        <v>41</v>
      </c>
      <c r="L93" s="40">
        <f>$P$53</f>
        <v>44.28</v>
      </c>
      <c r="M93" s="40">
        <f>$O$53</f>
        <v>46.051200000000001</v>
      </c>
      <c r="N93" s="54"/>
      <c r="Q93"/>
      <c r="R93"/>
      <c r="S93"/>
    </row>
    <row r="94" spans="2:20" ht="41.25" customHeight="1" x14ac:dyDescent="0.25">
      <c r="B94" s="39" t="s">
        <v>99</v>
      </c>
      <c r="C94" s="40">
        <f>(D89/100)*$P$57</f>
        <v>81</v>
      </c>
      <c r="D94" s="40">
        <f>(D89/100)*$O$57</f>
        <v>97.2</v>
      </c>
      <c r="F94" s="39" t="s">
        <v>99</v>
      </c>
      <c r="G94" s="40">
        <f>(H89/100)*$P$57</f>
        <v>2659.5</v>
      </c>
      <c r="H94" s="40">
        <f>(H89/100)*$O$57</f>
        <v>3191.4</v>
      </c>
      <c r="I94" s="41"/>
      <c r="J94" s="41"/>
      <c r="K94" s="39" t="s">
        <v>99</v>
      </c>
      <c r="L94" s="40">
        <f>(M89/100)*$P$57</f>
        <v>2000.7</v>
      </c>
      <c r="M94" s="40">
        <f>(M89/100)*$O$57</f>
        <v>2400.84</v>
      </c>
      <c r="N94" s="54"/>
      <c r="Q94"/>
      <c r="R94"/>
      <c r="S94"/>
    </row>
    <row r="95" spans="2:20" ht="41.25" customHeight="1" x14ac:dyDescent="0.25">
      <c r="B95" s="39" t="s">
        <v>54</v>
      </c>
      <c r="C95" s="40">
        <f>SUM(C91:C94)</f>
        <v>322.36</v>
      </c>
      <c r="D95" s="40">
        <f>SUM(D91:D94)</f>
        <v>346.24360000000001</v>
      </c>
      <c r="F95" s="39" t="s">
        <v>42</v>
      </c>
      <c r="G95" s="40">
        <f>SUM(G91:G94)</f>
        <v>7265.21</v>
      </c>
      <c r="H95" s="40">
        <f>SUM(H91:H94)</f>
        <v>7935.7241000000013</v>
      </c>
      <c r="I95"/>
      <c r="J95"/>
      <c r="K95" s="39" t="s">
        <v>42</v>
      </c>
      <c r="L95" s="40">
        <f>SUM(L91:L94)</f>
        <v>5491.3300000000008</v>
      </c>
      <c r="M95" s="40">
        <f>SUM(M91:M94)</f>
        <v>5996.6316999999999</v>
      </c>
      <c r="N95" s="54"/>
      <c r="Q95"/>
      <c r="R95"/>
      <c r="S95"/>
    </row>
    <row r="96" spans="2:20" x14ac:dyDescent="0.25">
      <c r="D96" s="42">
        <f>D95-C95</f>
        <v>23.883600000000001</v>
      </c>
      <c r="E96" s="1" t="s">
        <v>100</v>
      </c>
      <c r="H96" s="9">
        <f>H95-G95</f>
        <v>670.51410000000124</v>
      </c>
      <c r="I96"/>
      <c r="J96"/>
      <c r="M96" s="9">
        <f>M95-L95</f>
        <v>505.30169999999907</v>
      </c>
      <c r="S96"/>
    </row>
    <row r="97" spans="4:22" x14ac:dyDescent="0.25">
      <c r="D97" s="8">
        <f>(D95-C95)/C95</f>
        <v>7.4089837448814991E-2</v>
      </c>
      <c r="H97" s="8">
        <f>(H95-G95)/G95</f>
        <v>9.2291083120790901E-2</v>
      </c>
      <c r="I97"/>
      <c r="J97"/>
      <c r="M97" s="8">
        <f>(M95-L95)/L95</f>
        <v>9.2018090335128103E-2</v>
      </c>
      <c r="S97"/>
      <c r="U97" t="s">
        <v>123</v>
      </c>
    </row>
    <row r="98" spans="4:22" x14ac:dyDescent="0.25">
      <c r="S98"/>
      <c r="U98" s="68"/>
      <c r="V98" s="67"/>
    </row>
  </sheetData>
  <pageMargins left="0.25" right="0.25" top="0.75" bottom="0.75" header="0.3" footer="0.3"/>
  <pageSetup paperSize="3" scale="39" orientation="portrait" r:id="rId1"/>
  <colBreaks count="1" manualBreakCount="1">
    <brk id="9" max="1048575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32"/>
  <sheetViews>
    <sheetView tabSelected="1" workbookViewId="0">
      <selection activeCell="J3" sqref="J3"/>
    </sheetView>
  </sheetViews>
  <sheetFormatPr defaultRowHeight="15" x14ac:dyDescent="0.25"/>
  <cols>
    <col min="1" max="1" width="12.28515625" customWidth="1"/>
    <col min="2" max="2" width="14.140625" bestFit="1" customWidth="1"/>
    <col min="4" max="4" width="9.5703125" bestFit="1" customWidth="1"/>
    <col min="5" max="5" width="2.7109375" customWidth="1"/>
    <col min="7" max="7" width="10.5703125" bestFit="1" customWidth="1"/>
    <col min="8" max="8" width="2.7109375" customWidth="1"/>
    <col min="10" max="10" width="10.5703125" bestFit="1" customWidth="1"/>
    <col min="11" max="11" width="2.7109375" customWidth="1"/>
    <col min="13" max="13" width="10.5703125" bestFit="1" customWidth="1"/>
    <col min="14" max="14" width="2.7109375" customWidth="1"/>
    <col min="16" max="16" width="10.5703125" bestFit="1" customWidth="1"/>
    <col min="17" max="17" width="2.7109375" customWidth="1"/>
    <col min="19" max="19" width="10.5703125" bestFit="1" customWidth="1"/>
    <col min="20" max="20" width="2.7109375" customWidth="1"/>
    <col min="22" max="22" width="10.5703125" bestFit="1" customWidth="1"/>
    <col min="23" max="23" width="2.7109375" customWidth="1"/>
    <col min="25" max="25" width="9.5703125" bestFit="1" customWidth="1"/>
    <col min="26" max="26" width="2.7109375" customWidth="1"/>
    <col min="28" max="28" width="10.5703125" bestFit="1" customWidth="1"/>
    <col min="30" max="30" width="10.5703125" bestFit="1" customWidth="1"/>
    <col min="31" max="31" width="13.140625" customWidth="1"/>
  </cols>
  <sheetData>
    <row r="1" spans="1:31" ht="21" x14ac:dyDescent="0.35">
      <c r="A1" s="118" t="s">
        <v>142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  <c r="Z1" s="118"/>
      <c r="AA1" s="118"/>
      <c r="AB1" s="118"/>
      <c r="AC1" s="118"/>
      <c r="AD1" s="118"/>
      <c r="AE1" s="118"/>
    </row>
    <row r="2" spans="1:31" ht="21" x14ac:dyDescent="0.35">
      <c r="A2" s="119">
        <v>43690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118"/>
      <c r="T2" s="118"/>
      <c r="U2" s="118"/>
      <c r="V2" s="118"/>
      <c r="W2" s="118"/>
      <c r="X2" s="118"/>
      <c r="Y2" s="118"/>
      <c r="Z2" s="118"/>
      <c r="AA2" s="118"/>
      <c r="AB2" s="118"/>
      <c r="AC2" s="118"/>
      <c r="AD2" s="118"/>
      <c r="AE2" s="118"/>
    </row>
    <row r="5" spans="1:31" x14ac:dyDescent="0.25">
      <c r="B5" s="120"/>
      <c r="C5" s="121" t="s">
        <v>58</v>
      </c>
      <c r="D5" s="122"/>
      <c r="E5" s="70"/>
      <c r="F5" s="123" t="s">
        <v>135</v>
      </c>
      <c r="G5" s="123"/>
      <c r="H5" s="70"/>
      <c r="I5" s="123" t="s">
        <v>133</v>
      </c>
      <c r="J5" s="123"/>
      <c r="K5" s="70"/>
      <c r="L5" s="123" t="s">
        <v>131</v>
      </c>
      <c r="M5" s="123"/>
      <c r="N5" s="70"/>
      <c r="O5" s="123" t="s">
        <v>132</v>
      </c>
      <c r="P5" s="123"/>
      <c r="Q5" s="70"/>
      <c r="R5" s="123" t="s">
        <v>137</v>
      </c>
      <c r="S5" s="123"/>
      <c r="T5" s="70"/>
      <c r="U5" s="123" t="s">
        <v>138</v>
      </c>
      <c r="V5" s="123"/>
      <c r="W5" s="70"/>
      <c r="X5" s="123" t="s">
        <v>31</v>
      </c>
      <c r="Y5" s="123"/>
      <c r="Z5" s="70"/>
      <c r="AA5" s="123" t="s">
        <v>59</v>
      </c>
      <c r="AB5" s="123"/>
    </row>
    <row r="6" spans="1:31" x14ac:dyDescent="0.25">
      <c r="A6" s="63" t="s">
        <v>65</v>
      </c>
      <c r="B6" s="110"/>
      <c r="C6" s="107" t="s">
        <v>67</v>
      </c>
      <c r="D6" s="111" t="s">
        <v>126</v>
      </c>
      <c r="E6" s="100"/>
      <c r="F6" s="100" t="s">
        <v>67</v>
      </c>
      <c r="G6" s="100" t="s">
        <v>126</v>
      </c>
      <c r="H6" s="100"/>
      <c r="I6" s="100" t="s">
        <v>67</v>
      </c>
      <c r="J6" s="100" t="s">
        <v>126</v>
      </c>
      <c r="K6" s="100"/>
      <c r="L6" s="100" t="s">
        <v>67</v>
      </c>
      <c r="M6" s="100" t="s">
        <v>126</v>
      </c>
      <c r="N6" s="100"/>
      <c r="O6" s="100" t="s">
        <v>67</v>
      </c>
      <c r="P6" s="100" t="s">
        <v>61</v>
      </c>
      <c r="Q6" s="100"/>
      <c r="R6" s="100" t="s">
        <v>67</v>
      </c>
      <c r="S6" s="100" t="s">
        <v>61</v>
      </c>
      <c r="T6" s="100"/>
      <c r="U6" s="100" t="s">
        <v>67</v>
      </c>
      <c r="V6" s="100" t="s">
        <v>61</v>
      </c>
      <c r="W6" s="49"/>
      <c r="X6" s="49" t="s">
        <v>67</v>
      </c>
      <c r="Y6" s="49" t="s">
        <v>126</v>
      </c>
      <c r="Z6" s="49"/>
      <c r="AA6" s="49" t="s">
        <v>67</v>
      </c>
      <c r="AB6" s="49" t="s">
        <v>61</v>
      </c>
      <c r="AD6" s="104">
        <v>7.4805194804999999</v>
      </c>
      <c r="AE6" t="s">
        <v>62</v>
      </c>
    </row>
    <row r="7" spans="1:31" x14ac:dyDescent="0.25">
      <c r="A7" t="s">
        <v>80</v>
      </c>
      <c r="B7" s="110" t="s">
        <v>60</v>
      </c>
      <c r="C7" s="15">
        <v>4.57</v>
      </c>
      <c r="D7" s="112">
        <v>100</v>
      </c>
      <c r="F7" s="9">
        <v>4.3099999999999996</v>
      </c>
      <c r="G7">
        <v>100</v>
      </c>
      <c r="I7" s="9">
        <v>1.79</v>
      </c>
      <c r="J7">
        <v>100</v>
      </c>
      <c r="L7" s="9">
        <v>3.359</v>
      </c>
      <c r="M7">
        <v>100</v>
      </c>
      <c r="O7" s="9">
        <v>1.97</v>
      </c>
      <c r="P7">
        <v>1000</v>
      </c>
      <c r="R7" s="9">
        <v>3.44</v>
      </c>
      <c r="S7">
        <v>1000</v>
      </c>
      <c r="U7" s="9">
        <v>1.6</v>
      </c>
      <c r="V7">
        <v>1000</v>
      </c>
      <c r="X7" s="9">
        <v>6.7</v>
      </c>
      <c r="Y7">
        <v>100</v>
      </c>
      <c r="AA7" s="9">
        <v>8</v>
      </c>
      <c r="AB7">
        <v>1000</v>
      </c>
      <c r="AD7" s="105">
        <f>AD6*100</f>
        <v>748.05194804999996</v>
      </c>
      <c r="AE7" t="s">
        <v>127</v>
      </c>
    </row>
    <row r="8" spans="1:31" x14ac:dyDescent="0.25">
      <c r="B8" s="110" t="s">
        <v>63</v>
      </c>
      <c r="C8" s="15">
        <v>2.7</v>
      </c>
      <c r="D8" s="112">
        <v>100</v>
      </c>
      <c r="F8" s="9">
        <v>5.82</v>
      </c>
      <c r="G8">
        <v>100</v>
      </c>
      <c r="I8" s="9">
        <v>2.89</v>
      </c>
      <c r="J8">
        <v>100</v>
      </c>
      <c r="L8" s="9">
        <f>4.406+1.344</f>
        <v>5.75</v>
      </c>
      <c r="M8">
        <v>100</v>
      </c>
      <c r="O8" s="9">
        <v>5.91</v>
      </c>
      <c r="P8">
        <v>1000</v>
      </c>
      <c r="R8" s="9">
        <v>4.1399999999999997</v>
      </c>
      <c r="S8">
        <v>1000</v>
      </c>
      <c r="U8" s="9">
        <v>4.0999999999999996</v>
      </c>
      <c r="V8">
        <v>1000</v>
      </c>
      <c r="X8" s="9">
        <f>350/4</f>
        <v>87.5</v>
      </c>
      <c r="Y8" t="s">
        <v>64</v>
      </c>
      <c r="AA8" s="9">
        <v>9.1999999999999993</v>
      </c>
      <c r="AB8">
        <v>1000</v>
      </c>
      <c r="AD8" s="2">
        <f>3000*AD6</f>
        <v>22441.558441500001</v>
      </c>
      <c r="AE8" t="s">
        <v>128</v>
      </c>
    </row>
    <row r="9" spans="1:31" x14ac:dyDescent="0.25">
      <c r="B9" s="110"/>
      <c r="C9" s="108"/>
      <c r="D9" s="112"/>
      <c r="AE9" t="s">
        <v>129</v>
      </c>
    </row>
    <row r="10" spans="1:31" x14ac:dyDescent="0.25">
      <c r="B10" s="110"/>
      <c r="C10" s="107" t="s">
        <v>67</v>
      </c>
      <c r="D10" s="111" t="s">
        <v>130</v>
      </c>
      <c r="E10" s="100"/>
      <c r="F10" s="100" t="s">
        <v>67</v>
      </c>
      <c r="G10" s="100" t="s">
        <v>130</v>
      </c>
      <c r="H10" s="100"/>
      <c r="I10" s="100" t="s">
        <v>67</v>
      </c>
      <c r="J10" s="100" t="s">
        <v>130</v>
      </c>
      <c r="K10" s="100"/>
      <c r="L10" s="100" t="s">
        <v>67</v>
      </c>
      <c r="M10" s="100" t="s">
        <v>130</v>
      </c>
      <c r="N10" s="100"/>
      <c r="O10" s="100" t="s">
        <v>67</v>
      </c>
      <c r="P10" s="100" t="s">
        <v>61</v>
      </c>
      <c r="Q10" s="100"/>
      <c r="R10" s="100" t="s">
        <v>67</v>
      </c>
      <c r="S10" s="100" t="s">
        <v>61</v>
      </c>
      <c r="T10" s="100"/>
      <c r="U10" s="100" t="s">
        <v>67</v>
      </c>
      <c r="V10" s="100" t="s">
        <v>61</v>
      </c>
      <c r="W10" s="100"/>
      <c r="X10" s="100" t="s">
        <v>67</v>
      </c>
      <c r="Y10" s="100" t="s">
        <v>130</v>
      </c>
      <c r="Z10" s="100"/>
      <c r="AA10" s="100" t="s">
        <v>67</v>
      </c>
      <c r="AB10" s="100" t="s">
        <v>61</v>
      </c>
    </row>
    <row r="11" spans="1:31" x14ac:dyDescent="0.25">
      <c r="A11" t="s">
        <v>79</v>
      </c>
      <c r="B11" s="110" t="s">
        <v>81</v>
      </c>
      <c r="C11" s="15">
        <f>D11/D7*C7</f>
        <v>52.555000000000007</v>
      </c>
      <c r="D11" s="113">
        <v>1150</v>
      </c>
      <c r="F11" s="9">
        <f>(G11/G7*F7)</f>
        <v>49.564999999999998</v>
      </c>
      <c r="G11" s="1">
        <f>J11</f>
        <v>1150</v>
      </c>
      <c r="I11" s="9">
        <f>(J11/J7*I7)</f>
        <v>20.585000000000001</v>
      </c>
      <c r="J11" s="1">
        <f>M11</f>
        <v>1150</v>
      </c>
      <c r="L11" s="9">
        <f>(M11/M7*L7)</f>
        <v>38.628500000000003</v>
      </c>
      <c r="M11" s="1">
        <f>D11</f>
        <v>1150</v>
      </c>
      <c r="O11" s="9">
        <f>(P11/P7*O7)</f>
        <v>16.947116883072749</v>
      </c>
      <c r="P11" s="1">
        <f>AB11</f>
        <v>8602.5974025750002</v>
      </c>
      <c r="R11" s="9">
        <f>(S11/S7*R7)</f>
        <v>29.592935064858001</v>
      </c>
      <c r="S11" s="1">
        <f>P11</f>
        <v>8602.5974025750002</v>
      </c>
      <c r="U11" s="9">
        <f>(V11/V7*U7)</f>
        <v>13.764155844120001</v>
      </c>
      <c r="V11" s="1">
        <f>S11</f>
        <v>8602.5974025750002</v>
      </c>
      <c r="X11" s="9">
        <f>Y11/Y7*X7</f>
        <v>77.05</v>
      </c>
      <c r="Y11" s="1">
        <f>D11</f>
        <v>1150</v>
      </c>
      <c r="AA11" s="9">
        <f>(AB11/AB7*AA7)</f>
        <v>68.820779220600002</v>
      </c>
      <c r="AB11" s="1">
        <f>D11*AD6</f>
        <v>8602.5974025750002</v>
      </c>
    </row>
    <row r="12" spans="1:31" x14ac:dyDescent="0.25">
      <c r="B12" s="110" t="s">
        <v>82</v>
      </c>
      <c r="C12" s="15">
        <v>59.98</v>
      </c>
      <c r="D12" s="112"/>
      <c r="F12" s="9">
        <v>0</v>
      </c>
      <c r="G12" s="22"/>
      <c r="I12" s="9">
        <v>40.799999999999997</v>
      </c>
      <c r="J12" s="22"/>
      <c r="L12" s="9">
        <v>29.05</v>
      </c>
      <c r="M12" s="22"/>
      <c r="O12" s="9">
        <v>53.15</v>
      </c>
      <c r="P12" s="22"/>
      <c r="R12" s="9">
        <v>52</v>
      </c>
      <c r="S12" s="22"/>
      <c r="U12" s="9">
        <v>71.62</v>
      </c>
      <c r="V12" s="22"/>
      <c r="X12" s="9">
        <v>56</v>
      </c>
      <c r="AA12" s="9">
        <v>51</v>
      </c>
      <c r="AB12" s="22"/>
    </row>
    <row r="13" spans="1:31" x14ac:dyDescent="0.25">
      <c r="B13" s="110" t="s">
        <v>83</v>
      </c>
      <c r="C13" s="15">
        <f>D13/D8*C8</f>
        <v>31.05</v>
      </c>
      <c r="D13" s="113">
        <f>D11</f>
        <v>1150</v>
      </c>
      <c r="F13" s="9">
        <f>(G13/G8)*F8</f>
        <v>66.930000000000007</v>
      </c>
      <c r="G13" s="1">
        <f>G11</f>
        <v>1150</v>
      </c>
      <c r="I13" s="9">
        <f>(J13/J8)*I8</f>
        <v>33.234999999999999</v>
      </c>
      <c r="J13" s="1">
        <f>J11</f>
        <v>1150</v>
      </c>
      <c r="L13" s="9">
        <f>(M13/M8)*L8</f>
        <v>66.125</v>
      </c>
      <c r="M13" s="1">
        <f>M11</f>
        <v>1150</v>
      </c>
      <c r="O13" s="9">
        <f>(P13/P8)*O8</f>
        <v>50.841350649218256</v>
      </c>
      <c r="P13" s="1">
        <f>P11</f>
        <v>8602.5974025750002</v>
      </c>
      <c r="R13" s="9">
        <f>(S13/S8)*R8</f>
        <v>35.614753246660499</v>
      </c>
      <c r="S13" s="1">
        <f>S11</f>
        <v>8602.5974025750002</v>
      </c>
      <c r="U13" s="9">
        <f>(V13/V8)*U8</f>
        <v>35.270649350557498</v>
      </c>
      <c r="V13" s="1">
        <f>V11</f>
        <v>8602.5974025750002</v>
      </c>
      <c r="X13" s="9">
        <v>0</v>
      </c>
      <c r="Y13" s="1"/>
      <c r="AA13" s="9">
        <f>(AB13/AB8)*AA8</f>
        <v>79.143896103689997</v>
      </c>
      <c r="AB13" s="1">
        <f>D13*AD6</f>
        <v>8602.5974025750002</v>
      </c>
    </row>
    <row r="14" spans="1:31" x14ac:dyDescent="0.25">
      <c r="B14" s="110" t="s">
        <v>8</v>
      </c>
      <c r="C14" s="50">
        <v>44.28</v>
      </c>
      <c r="D14" s="112"/>
      <c r="F14" s="50">
        <v>0</v>
      </c>
      <c r="I14" s="50">
        <v>46.2</v>
      </c>
      <c r="L14" s="50">
        <v>17.55</v>
      </c>
      <c r="O14" s="50">
        <v>62.76</v>
      </c>
      <c r="R14" s="50">
        <v>83</v>
      </c>
      <c r="U14" s="50">
        <v>95</v>
      </c>
      <c r="X14" s="50">
        <f>X8</f>
        <v>87.5</v>
      </c>
      <c r="AA14" s="50">
        <v>51</v>
      </c>
    </row>
    <row r="15" spans="1:31" x14ac:dyDescent="0.25">
      <c r="B15" s="110"/>
      <c r="C15" s="109">
        <f>SUM(C11:C14)</f>
        <v>187.86500000000001</v>
      </c>
      <c r="D15" s="112"/>
      <c r="F15" s="23">
        <f>SUM(F11:F14)</f>
        <v>116.495</v>
      </c>
      <c r="I15" s="23">
        <f>SUM(I11:I14)</f>
        <v>140.82</v>
      </c>
      <c r="L15" s="23">
        <f>SUM(L11:L14)</f>
        <v>151.3535</v>
      </c>
      <c r="O15" s="23">
        <f>SUM(O11:O14)</f>
        <v>183.698467532291</v>
      </c>
      <c r="R15" s="23">
        <f>SUM(R11:R14)</f>
        <v>200.2076883115185</v>
      </c>
      <c r="U15" s="23">
        <f>SUM(U11:U14)</f>
        <v>215.65480519467749</v>
      </c>
      <c r="X15" s="23">
        <f>SUM(X11:X14)</f>
        <v>220.55</v>
      </c>
      <c r="AA15" s="23">
        <f>SUM(AA11:AA14)</f>
        <v>249.96467532429</v>
      </c>
    </row>
    <row r="16" spans="1:31" x14ac:dyDescent="0.25">
      <c r="B16" s="110"/>
      <c r="C16" s="108"/>
      <c r="D16" s="112"/>
    </row>
    <row r="17" spans="1:30" x14ac:dyDescent="0.25">
      <c r="B17" s="124"/>
      <c r="C17" s="125" t="s">
        <v>58</v>
      </c>
      <c r="D17" s="126"/>
      <c r="E17" s="70"/>
      <c r="F17" s="123" t="str">
        <f>F5</f>
        <v>Burlington*^</v>
      </c>
      <c r="G17" s="123"/>
      <c r="H17" s="70"/>
      <c r="I17" s="123" t="str">
        <f>I5</f>
        <v>Waterbury*</v>
      </c>
      <c r="J17" s="123"/>
      <c r="K17" s="70"/>
      <c r="L17" s="123" t="str">
        <f>L5</f>
        <v>City of Rutland*</v>
      </c>
      <c r="M17" s="123"/>
      <c r="N17" s="70"/>
      <c r="O17" s="123" t="str">
        <f>O5</f>
        <v>St. Albans City*</v>
      </c>
      <c r="P17" s="123"/>
      <c r="Q17" s="70"/>
      <c r="R17" s="123" t="str">
        <f>R5</f>
        <v>St. Johnsbury*</v>
      </c>
      <c r="S17" s="123"/>
      <c r="T17" s="70"/>
      <c r="U17" s="123" t="str">
        <f>U5</f>
        <v>Bradford*</v>
      </c>
      <c r="V17" s="123"/>
      <c r="W17" s="70"/>
      <c r="X17" s="123" t="s">
        <v>31</v>
      </c>
      <c r="Y17" s="123"/>
      <c r="Z17" s="70"/>
      <c r="AA17" s="123" t="s">
        <v>59</v>
      </c>
      <c r="AB17" s="123"/>
    </row>
    <row r="18" spans="1:30" x14ac:dyDescent="0.25">
      <c r="A18" s="127" t="s">
        <v>66</v>
      </c>
      <c r="B18" s="110"/>
      <c r="C18" s="107" t="s">
        <v>67</v>
      </c>
      <c r="D18" s="111" t="s">
        <v>126</v>
      </c>
      <c r="E18" s="100"/>
      <c r="F18" s="100" t="s">
        <v>67</v>
      </c>
      <c r="G18" s="100" t="str">
        <f>G6</f>
        <v>HCF</v>
      </c>
      <c r="H18" s="100"/>
      <c r="I18" s="100" t="s">
        <v>67</v>
      </c>
      <c r="J18" s="100" t="str">
        <f>J6</f>
        <v>HCF</v>
      </c>
      <c r="K18" s="100"/>
      <c r="L18" s="100" t="s">
        <v>67</v>
      </c>
      <c r="M18" s="100" t="str">
        <f>M6</f>
        <v>HCF</v>
      </c>
      <c r="N18" s="100"/>
      <c r="O18" s="100" t="s">
        <v>67</v>
      </c>
      <c r="P18" s="100" t="str">
        <f>P6</f>
        <v>Gal</v>
      </c>
      <c r="Q18" s="100"/>
      <c r="R18" s="100" t="s">
        <v>67</v>
      </c>
      <c r="S18" s="100" t="str">
        <f>S6</f>
        <v>Gal</v>
      </c>
      <c r="T18" s="100"/>
      <c r="U18" s="100" t="s">
        <v>67</v>
      </c>
      <c r="V18" s="100" t="str">
        <f>V6</f>
        <v>Gal</v>
      </c>
      <c r="W18" s="49"/>
      <c r="X18" s="49" t="s">
        <v>67</v>
      </c>
      <c r="Y18" s="100" t="s">
        <v>126</v>
      </c>
      <c r="Z18" s="49"/>
      <c r="AA18" s="49" t="s">
        <v>67</v>
      </c>
      <c r="AB18" s="49" t="s">
        <v>61</v>
      </c>
    </row>
    <row r="19" spans="1:30" x14ac:dyDescent="0.25">
      <c r="B19" s="124" t="s">
        <v>60</v>
      </c>
      <c r="C19" s="129">
        <f>Rates!F59</f>
        <v>4.7071000000000005</v>
      </c>
      <c r="D19" s="128">
        <v>100</v>
      </c>
      <c r="E19" s="63"/>
      <c r="F19" s="130">
        <f>F7</f>
        <v>4.3099999999999996</v>
      </c>
      <c r="G19" s="63">
        <f>G7</f>
        <v>100</v>
      </c>
      <c r="H19" s="63"/>
      <c r="I19" s="130">
        <f>I7</f>
        <v>1.79</v>
      </c>
      <c r="J19" s="63">
        <f>J7</f>
        <v>100</v>
      </c>
      <c r="K19" s="63"/>
      <c r="L19" s="130">
        <f>L7</f>
        <v>3.359</v>
      </c>
      <c r="M19" s="63">
        <f>M7</f>
        <v>100</v>
      </c>
      <c r="N19" s="63"/>
      <c r="O19" s="130">
        <f>O7</f>
        <v>1.97</v>
      </c>
      <c r="P19" s="63">
        <f>P7</f>
        <v>1000</v>
      </c>
      <c r="Q19" s="63"/>
      <c r="R19" s="130">
        <f>R7</f>
        <v>3.44</v>
      </c>
      <c r="S19" s="63">
        <f>S7</f>
        <v>1000</v>
      </c>
      <c r="T19" s="63"/>
      <c r="U19" s="130">
        <f>U7</f>
        <v>1.6</v>
      </c>
      <c r="V19" s="63">
        <f>V7</f>
        <v>1000</v>
      </c>
      <c r="W19" s="63"/>
      <c r="X19" s="130">
        <v>6.7</v>
      </c>
      <c r="Y19" s="63">
        <v>100</v>
      </c>
      <c r="Z19" s="63"/>
      <c r="AA19" s="130">
        <v>8</v>
      </c>
      <c r="AB19" s="63">
        <v>1000</v>
      </c>
    </row>
    <row r="20" spans="1:30" x14ac:dyDescent="0.25">
      <c r="B20" s="124" t="s">
        <v>63</v>
      </c>
      <c r="C20" s="129">
        <f>Rates!O57</f>
        <v>3.24</v>
      </c>
      <c r="D20" s="128">
        <v>100</v>
      </c>
      <c r="E20" s="63"/>
      <c r="F20" s="130">
        <f>F8</f>
        <v>5.82</v>
      </c>
      <c r="G20" s="63">
        <f>G8</f>
        <v>100</v>
      </c>
      <c r="H20" s="63"/>
      <c r="I20" s="130">
        <f>I8</f>
        <v>2.89</v>
      </c>
      <c r="J20" s="63">
        <f>J8</f>
        <v>100</v>
      </c>
      <c r="K20" s="63"/>
      <c r="L20" s="130">
        <f>L8</f>
        <v>5.75</v>
      </c>
      <c r="M20" s="63">
        <f>M8</f>
        <v>100</v>
      </c>
      <c r="N20" s="63"/>
      <c r="O20" s="130">
        <f>O8</f>
        <v>5.91</v>
      </c>
      <c r="P20" s="63">
        <f>P8</f>
        <v>1000</v>
      </c>
      <c r="Q20" s="63"/>
      <c r="R20" s="130">
        <f>R8</f>
        <v>4.1399999999999997</v>
      </c>
      <c r="S20" s="63">
        <f>S8</f>
        <v>1000</v>
      </c>
      <c r="T20" s="63"/>
      <c r="U20" s="130">
        <f>U8</f>
        <v>4.0999999999999996</v>
      </c>
      <c r="V20" s="63">
        <f>V8</f>
        <v>1000</v>
      </c>
      <c r="W20" s="63"/>
      <c r="X20" s="130">
        <f>350/4</f>
        <v>87.5</v>
      </c>
      <c r="Y20" s="63" t="s">
        <v>64</v>
      </c>
      <c r="Z20" s="63"/>
      <c r="AA20" s="130">
        <v>9.1999999999999993</v>
      </c>
      <c r="AB20" s="63">
        <v>1000</v>
      </c>
    </row>
    <row r="21" spans="1:30" x14ac:dyDescent="0.25">
      <c r="B21" s="110"/>
      <c r="C21" s="107" t="s">
        <v>67</v>
      </c>
      <c r="D21" s="111" t="s">
        <v>130</v>
      </c>
      <c r="E21" s="100"/>
      <c r="F21" s="100" t="s">
        <v>67</v>
      </c>
      <c r="G21" s="100" t="str">
        <f>G10</f>
        <v>CF</v>
      </c>
      <c r="H21" s="100"/>
      <c r="I21" s="100" t="s">
        <v>67</v>
      </c>
      <c r="J21" s="100" t="str">
        <f>J10</f>
        <v>CF</v>
      </c>
      <c r="K21" s="100"/>
      <c r="L21" s="100" t="s">
        <v>67</v>
      </c>
      <c r="M21" s="100" t="str">
        <f>M10</f>
        <v>CF</v>
      </c>
      <c r="N21" s="100"/>
      <c r="O21" s="100" t="s">
        <v>67</v>
      </c>
      <c r="P21" s="100" t="str">
        <f>P10</f>
        <v>Gal</v>
      </c>
      <c r="Q21" s="100"/>
      <c r="R21" s="100" t="s">
        <v>67</v>
      </c>
      <c r="S21" s="100" t="str">
        <f>S10</f>
        <v>Gal</v>
      </c>
      <c r="T21" s="100"/>
      <c r="U21" s="100" t="s">
        <v>67</v>
      </c>
      <c r="V21" s="100" t="str">
        <f>V10</f>
        <v>Gal</v>
      </c>
      <c r="W21" s="100"/>
      <c r="X21" s="100" t="s">
        <v>67</v>
      </c>
      <c r="Y21" s="100" t="s">
        <v>130</v>
      </c>
      <c r="Z21" s="100"/>
      <c r="AA21" s="100" t="s">
        <v>67</v>
      </c>
      <c r="AB21" s="100" t="s">
        <v>61</v>
      </c>
    </row>
    <row r="22" spans="1:30" x14ac:dyDescent="0.25">
      <c r="B22" s="110" t="s">
        <v>81</v>
      </c>
      <c r="C22" s="15">
        <f>D22/D19*C19</f>
        <v>54.131650000000008</v>
      </c>
      <c r="D22" s="113">
        <f>D11</f>
        <v>1150</v>
      </c>
      <c r="F22" s="9">
        <f>(G22/G19)*F19</f>
        <v>49.564999999999998</v>
      </c>
      <c r="G22" s="1">
        <f>G11</f>
        <v>1150</v>
      </c>
      <c r="I22" s="9">
        <f>(J22/J19)*I19</f>
        <v>20.585000000000001</v>
      </c>
      <c r="J22" s="1">
        <f>J11</f>
        <v>1150</v>
      </c>
      <c r="L22" s="9">
        <f>(M22/M19)*L19</f>
        <v>38.628500000000003</v>
      </c>
      <c r="M22" s="1">
        <f>M11</f>
        <v>1150</v>
      </c>
      <c r="O22" s="9">
        <f>(P22/P19)*O19</f>
        <v>16.947116883072749</v>
      </c>
      <c r="P22" s="1">
        <f>P11</f>
        <v>8602.5974025750002</v>
      </c>
      <c r="R22" s="9">
        <f>(S22/S19)*R19</f>
        <v>29.592935064858001</v>
      </c>
      <c r="S22" s="1">
        <f>S11</f>
        <v>8602.5974025750002</v>
      </c>
      <c r="U22" s="9">
        <f>(V22/V19)*U19</f>
        <v>13.764155844120001</v>
      </c>
      <c r="V22" s="1">
        <f>V11</f>
        <v>8602.5974025750002</v>
      </c>
      <c r="X22" s="9">
        <f>Y22/Y19*X19</f>
        <v>77.05</v>
      </c>
      <c r="Y22" s="1">
        <f>D11</f>
        <v>1150</v>
      </c>
      <c r="AA22" s="9">
        <f>(AB22/AB19)*AA19</f>
        <v>68.820779220600002</v>
      </c>
      <c r="AB22" s="1">
        <f>D22*AD6</f>
        <v>8602.5974025750002</v>
      </c>
    </row>
    <row r="23" spans="1:30" x14ac:dyDescent="0.25">
      <c r="B23" s="110" t="s">
        <v>82</v>
      </c>
      <c r="C23" s="15">
        <f>Rates!F53</f>
        <v>61.779399999999995</v>
      </c>
      <c r="D23" s="112"/>
      <c r="F23" s="9">
        <f>F12</f>
        <v>0</v>
      </c>
      <c r="G23" s="22"/>
      <c r="I23" s="9">
        <f>I12</f>
        <v>40.799999999999997</v>
      </c>
      <c r="J23" s="22"/>
      <c r="L23" s="9">
        <f>L12</f>
        <v>29.05</v>
      </c>
      <c r="M23" s="22"/>
      <c r="O23" s="9">
        <f>O12</f>
        <v>53.15</v>
      </c>
      <c r="P23" s="22"/>
      <c r="R23" s="9">
        <f>R12</f>
        <v>52</v>
      </c>
      <c r="S23" s="22"/>
      <c r="U23" s="9">
        <f>U12</f>
        <v>71.62</v>
      </c>
      <c r="V23" s="22"/>
      <c r="X23" s="9">
        <v>56</v>
      </c>
      <c r="AA23" s="9">
        <v>51</v>
      </c>
      <c r="AB23" s="22"/>
    </row>
    <row r="24" spans="1:30" x14ac:dyDescent="0.25">
      <c r="B24" s="110" t="s">
        <v>83</v>
      </c>
      <c r="C24" s="15">
        <f>D24/D20*C20</f>
        <v>37.260000000000005</v>
      </c>
      <c r="D24" s="113">
        <f>D11</f>
        <v>1150</v>
      </c>
      <c r="F24" s="9">
        <f>(G24/G20)*F20</f>
        <v>66.930000000000007</v>
      </c>
      <c r="G24" s="1">
        <f>G22</f>
        <v>1150</v>
      </c>
      <c r="I24" s="9">
        <f>(J24/J20)*I20</f>
        <v>33.234999999999999</v>
      </c>
      <c r="J24" s="1">
        <f>J22</f>
        <v>1150</v>
      </c>
      <c r="L24" s="9">
        <f>(M24/M20)*L20</f>
        <v>66.125</v>
      </c>
      <c r="M24" s="1">
        <f>M22</f>
        <v>1150</v>
      </c>
      <c r="O24" s="9">
        <f>(P24/P20)*O20</f>
        <v>50.841350649218256</v>
      </c>
      <c r="P24" s="1">
        <f>P22</f>
        <v>8602.5974025750002</v>
      </c>
      <c r="R24" s="9">
        <f>(S24/S20)*R20</f>
        <v>35.614753246660499</v>
      </c>
      <c r="S24" s="1">
        <f>S22</f>
        <v>8602.5974025750002</v>
      </c>
      <c r="U24" s="9">
        <f>(V24/V20)*U20</f>
        <v>35.270649350557498</v>
      </c>
      <c r="V24" s="1">
        <f>V22</f>
        <v>8602.5974025750002</v>
      </c>
      <c r="X24" s="9">
        <v>0</v>
      </c>
      <c r="Y24" s="1"/>
      <c r="AA24" s="9">
        <f>(AB24/AB20)*AA20</f>
        <v>79.143896103689997</v>
      </c>
      <c r="AB24" s="1">
        <f>D24*AD6</f>
        <v>8602.5974025750002</v>
      </c>
    </row>
    <row r="25" spans="1:30" x14ac:dyDescent="0.25">
      <c r="B25" s="110" t="s">
        <v>8</v>
      </c>
      <c r="C25" s="51">
        <f>Rates!O53</f>
        <v>46.051200000000001</v>
      </c>
      <c r="D25" s="112"/>
      <c r="F25" s="50">
        <f>F14</f>
        <v>0</v>
      </c>
      <c r="I25" s="50">
        <f>I14</f>
        <v>46.2</v>
      </c>
      <c r="L25" s="50">
        <f>L14</f>
        <v>17.55</v>
      </c>
      <c r="O25" s="50">
        <f>O14</f>
        <v>62.76</v>
      </c>
      <c r="R25" s="50">
        <f>R14</f>
        <v>83</v>
      </c>
      <c r="U25" s="50">
        <f>U14</f>
        <v>95</v>
      </c>
      <c r="X25" s="50">
        <f>X20</f>
        <v>87.5</v>
      </c>
      <c r="AA25" s="50">
        <v>51</v>
      </c>
    </row>
    <row r="26" spans="1:30" x14ac:dyDescent="0.25">
      <c r="B26" s="110"/>
      <c r="C26" s="109">
        <f>SUM(C22:C25)</f>
        <v>199.22225</v>
      </c>
      <c r="D26" s="112"/>
      <c r="F26" s="23">
        <f>SUM(F22:F25)</f>
        <v>116.495</v>
      </c>
      <c r="I26" s="23">
        <f>SUM(I22:I25)</f>
        <v>140.82</v>
      </c>
      <c r="L26" s="23">
        <f>SUM(L22:L25)</f>
        <v>151.3535</v>
      </c>
      <c r="O26" s="23">
        <f>SUM(O22:O25)</f>
        <v>183.698467532291</v>
      </c>
      <c r="R26" s="23">
        <f>SUM(R22:R25)</f>
        <v>200.2076883115185</v>
      </c>
      <c r="U26" s="23">
        <f>SUM(U22:U25)</f>
        <v>215.65480519467749</v>
      </c>
      <c r="X26" s="23">
        <f>SUM(X22:X25)</f>
        <v>220.55</v>
      </c>
      <c r="AA26" s="23">
        <f>SUM(AA22:AA25)</f>
        <v>249.96467532429</v>
      </c>
      <c r="AC26" s="23">
        <f>AVERAGE(C26:AA26)</f>
        <v>186.44070959586412</v>
      </c>
      <c r="AD26" t="s">
        <v>139</v>
      </c>
    </row>
    <row r="27" spans="1:30" x14ac:dyDescent="0.25">
      <c r="B27" s="110"/>
      <c r="C27" s="108"/>
      <c r="D27" s="112"/>
      <c r="AC27" s="23">
        <f>MEDIAN(C26:AA26)</f>
        <v>199.22225</v>
      </c>
      <c r="AD27" t="s">
        <v>140</v>
      </c>
    </row>
    <row r="28" spans="1:30" x14ac:dyDescent="0.25">
      <c r="B28" s="110" t="s">
        <v>84</v>
      </c>
      <c r="C28" s="109">
        <f>C26-C15</f>
        <v>11.357249999999993</v>
      </c>
      <c r="D28" s="114">
        <f>C28/C15</f>
        <v>6.0454315598967308E-2</v>
      </c>
      <c r="X28" s="23"/>
    </row>
    <row r="29" spans="1:30" x14ac:dyDescent="0.25">
      <c r="B29" s="110" t="s">
        <v>85</v>
      </c>
      <c r="C29" s="109">
        <f>C28*4</f>
        <v>45.428999999999974</v>
      </c>
      <c r="D29" s="112"/>
    </row>
    <row r="30" spans="1:30" x14ac:dyDescent="0.25">
      <c r="B30" s="115"/>
      <c r="C30" s="116"/>
      <c r="D30" s="117"/>
      <c r="F30" s="23"/>
      <c r="I30" s="23"/>
      <c r="L30" s="23"/>
      <c r="O30" s="23"/>
      <c r="R30" s="23"/>
      <c r="U30" s="23"/>
      <c r="X30" s="23"/>
      <c r="AA30" s="23"/>
    </row>
    <row r="31" spans="1:30" x14ac:dyDescent="0.25">
      <c r="B31" s="106" t="s">
        <v>134</v>
      </c>
    </row>
    <row r="32" spans="1:30" x14ac:dyDescent="0.25">
      <c r="B32" s="106" t="s">
        <v>136</v>
      </c>
    </row>
  </sheetData>
  <mergeCells count="18">
    <mergeCell ref="I5:J5"/>
    <mergeCell ref="I17:J17"/>
    <mergeCell ref="AA5:AB5"/>
    <mergeCell ref="C5:D5"/>
    <mergeCell ref="X5:Y5"/>
    <mergeCell ref="X17:Y17"/>
    <mergeCell ref="AA17:AB17"/>
    <mergeCell ref="C17:D17"/>
    <mergeCell ref="F5:G5"/>
    <mergeCell ref="F17:G17"/>
    <mergeCell ref="R5:S5"/>
    <mergeCell ref="R17:S17"/>
    <mergeCell ref="U5:V5"/>
    <mergeCell ref="U17:V17"/>
    <mergeCell ref="L5:M5"/>
    <mergeCell ref="L17:M17"/>
    <mergeCell ref="O5:P5"/>
    <mergeCell ref="O17:P17"/>
  </mergeCells>
  <pageMargins left="0.25" right="0.25" top="0.75" bottom="0.75" header="0.3" footer="0.3"/>
  <pageSetup paperSize="3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Rates</vt:lpstr>
      <vt:lpstr>Town Comparison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Dawn Monahan</dc:creator>
  <cp:lastModifiedBy>Steve Mackenzie</cp:lastModifiedBy>
  <cp:lastPrinted>2019-08-13T19:27:49Z</cp:lastPrinted>
  <dcterms:created xsi:type="dcterms:W3CDTF">2019-06-21T15:50:26Z</dcterms:created>
  <dcterms:modified xsi:type="dcterms:W3CDTF">2019-08-13T19:27:55Z</dcterms:modified>
</cp:coreProperties>
</file>